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30.1.2023\"/>
    </mc:Choice>
  </mc:AlternateContent>
  <xr:revisionPtr revIDLastSave="0" documentId="13_ncr:1_{2D5DF748-8D3D-46C1-A49A-F113BB07D20E}" xr6:coauthVersionLast="47" xr6:coauthVersionMax="47" xr10:uidLastSave="{00000000-0000-0000-0000-000000000000}"/>
  <bookViews>
    <workbookView xWindow="28680" yWindow="-120" windowWidth="29040" windowHeight="15840" xr2:uid="{3B304731-C862-43D7-A787-A46DC8454A4C}"/>
  </bookViews>
  <sheets>
    <sheet name="Rekapitulace" sheetId="1" r:id="rId1"/>
    <sheet name="004-01" sheetId="16" r:id="rId2"/>
    <sheet name="004-05" sheetId="6" r:id="rId3"/>
    <sheet name="004-06" sheetId="7" r:id="rId4"/>
    <sheet name="004-07" sheetId="8" r:id="rId5"/>
    <sheet name="004-09" sheetId="10" r:id="rId6"/>
    <sheet name="004-10" sheetId="11" r:id="rId7"/>
    <sheet name="004-12" sheetId="13" r:id="rId8"/>
    <sheet name="004-13" sheetId="14" r:id="rId9"/>
    <sheet name="004-14" sheetId="15" r:id="rId10"/>
  </sheets>
  <definedNames>
    <definedName name="_xlnm.Print_Area" localSheetId="1">'004-01'!$A$1:$N$129</definedName>
    <definedName name="_xlnm.Print_Area" localSheetId="2">'004-05'!$A$1:$M$31</definedName>
    <definedName name="_xlnm.Print_Area" localSheetId="3">'004-06'!$A$1:$M$27</definedName>
    <definedName name="_xlnm.Print_Area" localSheetId="4">'004-07'!$A$1:$M$22</definedName>
    <definedName name="_xlnm.Print_Area" localSheetId="5">'004-09'!$A$1:$M$65</definedName>
    <definedName name="_xlnm.Print_Area" localSheetId="6">'004-10'!$A$1:$M$38</definedName>
    <definedName name="_xlnm.Print_Area" localSheetId="7">'004-12'!$A$1:$M$25</definedName>
    <definedName name="_xlnm.Print_Area" localSheetId="8">'004-13'!$A$1:$M$22</definedName>
    <definedName name="_xlnm.Print_Area" localSheetId="9">'004-14'!$A$1:$M$325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8" i="10" l="1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17" i="10"/>
  <c r="J15" i="7"/>
  <c r="J14" i="7"/>
  <c r="H303" i="15"/>
  <c r="H305" i="15"/>
  <c r="H299" i="15"/>
  <c r="H298" i="15"/>
  <c r="H309" i="15"/>
  <c r="H307" i="15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15" i="11"/>
  <c r="M16" i="14"/>
  <c r="L16" i="14"/>
  <c r="K16" i="14"/>
  <c r="K19" i="13"/>
  <c r="M19" i="13" s="1"/>
  <c r="L19" i="13"/>
  <c r="M18" i="13"/>
  <c r="L18" i="13"/>
  <c r="K18" i="13"/>
  <c r="K16" i="11"/>
  <c r="M16" i="11" s="1"/>
  <c r="L16" i="11"/>
  <c r="K17" i="11"/>
  <c r="L17" i="11"/>
  <c r="M17" i="11"/>
  <c r="K18" i="11"/>
  <c r="M18" i="11" s="1"/>
  <c r="L18" i="11"/>
  <c r="K19" i="11"/>
  <c r="M19" i="11" s="1"/>
  <c r="L19" i="11"/>
  <c r="K20" i="11"/>
  <c r="M20" i="11" s="1"/>
  <c r="L20" i="11"/>
  <c r="K21" i="11"/>
  <c r="M21" i="11" s="1"/>
  <c r="L21" i="11"/>
  <c r="K22" i="11"/>
  <c r="L22" i="11"/>
  <c r="M22" i="11"/>
  <c r="K23" i="11"/>
  <c r="M23" i="11" s="1"/>
  <c r="L23" i="11"/>
  <c r="K24" i="11"/>
  <c r="M24" i="11" s="1"/>
  <c r="L24" i="11"/>
  <c r="K25" i="11"/>
  <c r="M25" i="11" s="1"/>
  <c r="L25" i="11"/>
  <c r="K26" i="11"/>
  <c r="L26" i="11"/>
  <c r="M26" i="11"/>
  <c r="K27" i="11"/>
  <c r="L27" i="11"/>
  <c r="M27" i="11"/>
  <c r="K28" i="11"/>
  <c r="M28" i="11" s="1"/>
  <c r="L28" i="11"/>
  <c r="K29" i="11"/>
  <c r="M29" i="11" s="1"/>
  <c r="L29" i="11"/>
  <c r="K30" i="11"/>
  <c r="M30" i="11" s="1"/>
  <c r="L30" i="11"/>
  <c r="K31" i="11"/>
  <c r="M31" i="11" s="1"/>
  <c r="L31" i="11"/>
  <c r="K32" i="11"/>
  <c r="M32" i="11" s="1"/>
  <c r="L32" i="11"/>
  <c r="L15" i="11"/>
  <c r="K15" i="11"/>
  <c r="M15" i="11" s="1"/>
  <c r="K18" i="10"/>
  <c r="M18" i="10" s="1"/>
  <c r="L18" i="10"/>
  <c r="K19" i="10"/>
  <c r="L19" i="10"/>
  <c r="M19" i="10"/>
  <c r="K20" i="10"/>
  <c r="M20" i="10" s="1"/>
  <c r="L20" i="10"/>
  <c r="K21" i="10"/>
  <c r="L21" i="10"/>
  <c r="M21" i="10"/>
  <c r="K22" i="10"/>
  <c r="M22" i="10" s="1"/>
  <c r="L22" i="10"/>
  <c r="K23" i="10"/>
  <c r="M23" i="10" s="1"/>
  <c r="L23" i="10"/>
  <c r="K24" i="10"/>
  <c r="L24" i="10"/>
  <c r="M24" i="10" s="1"/>
  <c r="K25" i="10"/>
  <c r="M25" i="10" s="1"/>
  <c r="L25" i="10"/>
  <c r="K26" i="10"/>
  <c r="L26" i="10"/>
  <c r="M26" i="10" s="1"/>
  <c r="K27" i="10"/>
  <c r="L27" i="10"/>
  <c r="M27" i="10"/>
  <c r="K28" i="10"/>
  <c r="M28" i="10" s="1"/>
  <c r="L28" i="10"/>
  <c r="K29" i="10"/>
  <c r="L29" i="10"/>
  <c r="M29" i="10"/>
  <c r="K30" i="10"/>
  <c r="M30" i="10" s="1"/>
  <c r="L30" i="10"/>
  <c r="K31" i="10"/>
  <c r="M31" i="10" s="1"/>
  <c r="L31" i="10"/>
  <c r="K32" i="10"/>
  <c r="L32" i="10"/>
  <c r="M32" i="10"/>
  <c r="K33" i="10"/>
  <c r="M33" i="10" s="1"/>
  <c r="L33" i="10"/>
  <c r="K34" i="10"/>
  <c r="M34" i="10" s="1"/>
  <c r="L34" i="10"/>
  <c r="K35" i="10"/>
  <c r="L35" i="10"/>
  <c r="M35" i="10"/>
  <c r="K36" i="10"/>
  <c r="M36" i="10" s="1"/>
  <c r="L36" i="10"/>
  <c r="K37" i="10"/>
  <c r="L37" i="10"/>
  <c r="M37" i="10"/>
  <c r="K38" i="10"/>
  <c r="M38" i="10" s="1"/>
  <c r="L38" i="10"/>
  <c r="K39" i="10"/>
  <c r="M39" i="10" s="1"/>
  <c r="L39" i="10"/>
  <c r="K40" i="10"/>
  <c r="L40" i="10"/>
  <c r="M40" i="10"/>
  <c r="K41" i="10"/>
  <c r="M41" i="10" s="1"/>
  <c r="L41" i="10"/>
  <c r="K42" i="10"/>
  <c r="M42" i="10" s="1"/>
  <c r="L42" i="10"/>
  <c r="K43" i="10"/>
  <c r="L43" i="10"/>
  <c r="M43" i="10"/>
  <c r="K44" i="10"/>
  <c r="M44" i="10" s="1"/>
  <c r="L44" i="10"/>
  <c r="K45" i="10"/>
  <c r="L45" i="10"/>
  <c r="M45" i="10"/>
  <c r="K46" i="10"/>
  <c r="M46" i="10" s="1"/>
  <c r="L46" i="10"/>
  <c r="K47" i="10"/>
  <c r="M47" i="10" s="1"/>
  <c r="L47" i="10"/>
  <c r="K48" i="10"/>
  <c r="L48" i="10"/>
  <c r="M48" i="10"/>
  <c r="K49" i="10"/>
  <c r="M49" i="10" s="1"/>
  <c r="L49" i="10"/>
  <c r="K50" i="10"/>
  <c r="M50" i="10" s="1"/>
  <c r="L50" i="10"/>
  <c r="K51" i="10"/>
  <c r="L51" i="10"/>
  <c r="M51" i="10"/>
  <c r="K52" i="10"/>
  <c r="M52" i="10" s="1"/>
  <c r="L52" i="10"/>
  <c r="K53" i="10"/>
  <c r="L53" i="10"/>
  <c r="M53" i="10"/>
  <c r="K54" i="10"/>
  <c r="M54" i="10" s="1"/>
  <c r="L54" i="10"/>
  <c r="K55" i="10"/>
  <c r="M55" i="10" s="1"/>
  <c r="L55" i="10"/>
  <c r="K56" i="10"/>
  <c r="L56" i="10"/>
  <c r="M56" i="10"/>
  <c r="K57" i="10"/>
  <c r="M57" i="10" s="1"/>
  <c r="L57" i="10"/>
  <c r="K58" i="10"/>
  <c r="M58" i="10" s="1"/>
  <c r="L58" i="10"/>
  <c r="K59" i="10"/>
  <c r="L59" i="10"/>
  <c r="M59" i="10"/>
  <c r="L17" i="10"/>
  <c r="K17" i="10"/>
  <c r="M17" i="10" s="1"/>
  <c r="M61" i="10" s="1"/>
  <c r="E15" i="1"/>
  <c r="E16" i="1"/>
  <c r="E17" i="1"/>
  <c r="E18" i="1"/>
  <c r="E19" i="1"/>
  <c r="E20" i="1"/>
  <c r="E21" i="1"/>
  <c r="E22" i="1"/>
  <c r="E23" i="1"/>
  <c r="E14" i="1"/>
  <c r="K120" i="16"/>
  <c r="K118" i="16"/>
  <c r="K117" i="16"/>
  <c r="K115" i="16"/>
  <c r="K114" i="16"/>
  <c r="K113" i="16"/>
  <c r="K112" i="16"/>
  <c r="M102" i="16"/>
  <c r="N102" i="16" s="1"/>
  <c r="L102" i="16"/>
  <c r="J102" i="16"/>
  <c r="K102" i="16" s="1"/>
  <c r="H102" i="16"/>
  <c r="H101" i="16"/>
  <c r="M100" i="16"/>
  <c r="L100" i="16"/>
  <c r="N100" i="16" s="1"/>
  <c r="J100" i="16"/>
  <c r="K100" i="16" s="1"/>
  <c r="H100" i="16"/>
  <c r="M99" i="16"/>
  <c r="L99" i="16"/>
  <c r="J99" i="16"/>
  <c r="K99" i="16" s="1"/>
  <c r="H99" i="16"/>
  <c r="H98" i="16"/>
  <c r="M97" i="16"/>
  <c r="L97" i="16"/>
  <c r="J97" i="16"/>
  <c r="K97" i="16" s="1"/>
  <c r="H97" i="16"/>
  <c r="M87" i="16"/>
  <c r="L87" i="16"/>
  <c r="J87" i="16"/>
  <c r="K87" i="16" s="1"/>
  <c r="H87" i="16"/>
  <c r="H86" i="16"/>
  <c r="M85" i="16"/>
  <c r="L85" i="16"/>
  <c r="N85" i="16" s="1"/>
  <c r="J85" i="16"/>
  <c r="K85" i="16" s="1"/>
  <c r="H85" i="16"/>
  <c r="M84" i="16"/>
  <c r="L84" i="16"/>
  <c r="J84" i="16"/>
  <c r="K84" i="16" s="1"/>
  <c r="H84" i="16"/>
  <c r="H83" i="16"/>
  <c r="M82" i="16"/>
  <c r="L82" i="16"/>
  <c r="J82" i="16"/>
  <c r="K82" i="16" s="1"/>
  <c r="H82" i="16"/>
  <c r="M69" i="16"/>
  <c r="N69" i="16" s="1"/>
  <c r="L69" i="16"/>
  <c r="J69" i="16"/>
  <c r="H69" i="16"/>
  <c r="H68" i="16"/>
  <c r="M66" i="16"/>
  <c r="L66" i="16"/>
  <c r="J66" i="16"/>
  <c r="H66" i="16"/>
  <c r="M65" i="16"/>
  <c r="L65" i="16"/>
  <c r="J65" i="16"/>
  <c r="H65" i="16"/>
  <c r="H64" i="16"/>
  <c r="H63" i="16"/>
  <c r="M62" i="16"/>
  <c r="L62" i="16"/>
  <c r="J62" i="16"/>
  <c r="H62" i="16"/>
  <c r="M60" i="16"/>
  <c r="L60" i="16"/>
  <c r="J60" i="16"/>
  <c r="H60" i="16"/>
  <c r="H59" i="16"/>
  <c r="M58" i="16"/>
  <c r="L58" i="16"/>
  <c r="J58" i="16"/>
  <c r="K58" i="16" s="1"/>
  <c r="K71" i="16" s="1"/>
  <c r="H58" i="16"/>
  <c r="H47" i="16"/>
  <c r="M46" i="16"/>
  <c r="L46" i="16"/>
  <c r="J46" i="16"/>
  <c r="K46" i="16" s="1"/>
  <c r="H46" i="16"/>
  <c r="H45" i="16"/>
  <c r="H44" i="16"/>
  <c r="M43" i="16"/>
  <c r="L43" i="16"/>
  <c r="J43" i="16"/>
  <c r="K43" i="16" s="1"/>
  <c r="H43" i="16"/>
  <c r="H42" i="16"/>
  <c r="M41" i="16"/>
  <c r="L41" i="16"/>
  <c r="J41" i="16"/>
  <c r="K41" i="16" s="1"/>
  <c r="H41" i="16"/>
  <c r="H40" i="16"/>
  <c r="M39" i="16"/>
  <c r="L39" i="16"/>
  <c r="N39" i="16" s="1"/>
  <c r="J39" i="16"/>
  <c r="K39" i="16" s="1"/>
  <c r="H39" i="16"/>
  <c r="H38" i="16"/>
  <c r="H37" i="16"/>
  <c r="M36" i="16"/>
  <c r="L36" i="16"/>
  <c r="J36" i="16"/>
  <c r="K36" i="16" s="1"/>
  <c r="H36" i="16"/>
  <c r="H35" i="16"/>
  <c r="M34" i="16"/>
  <c r="L34" i="16"/>
  <c r="J34" i="16"/>
  <c r="K34" i="16" s="1"/>
  <c r="H34" i="16"/>
  <c r="H33" i="16"/>
  <c r="H32" i="16"/>
  <c r="M31" i="16"/>
  <c r="L31" i="16"/>
  <c r="J31" i="16"/>
  <c r="K31" i="16" s="1"/>
  <c r="H31" i="16"/>
  <c r="H30" i="16"/>
  <c r="M29" i="16"/>
  <c r="L29" i="16"/>
  <c r="J29" i="16"/>
  <c r="K29" i="16" s="1"/>
  <c r="H29" i="16"/>
  <c r="H28" i="16"/>
  <c r="H27" i="16"/>
  <c r="M26" i="16"/>
  <c r="L26" i="16"/>
  <c r="J26" i="16"/>
  <c r="K26" i="16" s="1"/>
  <c r="H26" i="16"/>
  <c r="H25" i="16"/>
  <c r="M24" i="16"/>
  <c r="L24" i="16"/>
  <c r="J24" i="16"/>
  <c r="K24" i="16" s="1"/>
  <c r="H24" i="16"/>
  <c r="H23" i="16"/>
  <c r="H22" i="16"/>
  <c r="M21" i="16"/>
  <c r="L21" i="16"/>
  <c r="J21" i="16"/>
  <c r="K21" i="16" s="1"/>
  <c r="H21" i="16"/>
  <c r="H20" i="16"/>
  <c r="M19" i="16"/>
  <c r="J19" i="16"/>
  <c r="H19" i="16"/>
  <c r="H18" i="16"/>
  <c r="H17" i="16"/>
  <c r="M16" i="16"/>
  <c r="J16" i="16"/>
  <c r="H16" i="16"/>
  <c r="E27" i="1" l="1"/>
  <c r="M34" i="11"/>
  <c r="P16" i="16"/>
  <c r="R16" i="16" s="1"/>
  <c r="N31" i="16"/>
  <c r="N21" i="16"/>
  <c r="N24" i="16"/>
  <c r="N97" i="16"/>
  <c r="H49" i="16"/>
  <c r="H104" i="16"/>
  <c r="N66" i="16"/>
  <c r="N82" i="16"/>
  <c r="N99" i="16"/>
  <c r="N62" i="16"/>
  <c r="N84" i="16"/>
  <c r="N34" i="16"/>
  <c r="N43" i="16"/>
  <c r="N58" i="16"/>
  <c r="K104" i="16"/>
  <c r="N46" i="16"/>
  <c r="H71" i="16"/>
  <c r="N41" i="16"/>
  <c r="N60" i="16"/>
  <c r="H90" i="16"/>
  <c r="N29" i="16"/>
  <c r="K122" i="16"/>
  <c r="N26" i="16"/>
  <c r="N36" i="16"/>
  <c r="N65" i="16"/>
  <c r="N87" i="16"/>
  <c r="K90" i="16"/>
  <c r="H125" i="16" l="1"/>
  <c r="N104" i="16"/>
  <c r="N71" i="16"/>
  <c r="N90" i="16"/>
  <c r="L19" i="16" l="1"/>
  <c r="N19" i="16" s="1"/>
  <c r="K19" i="16"/>
  <c r="L16" i="16"/>
  <c r="N16" i="16" s="1"/>
  <c r="K16" i="16"/>
  <c r="N49" i="16" l="1"/>
  <c r="N125" i="16" s="1"/>
  <c r="K49" i="16"/>
  <c r="K125" i="16" s="1"/>
  <c r="D14" i="1" s="1"/>
  <c r="J324" i="15"/>
  <c r="M18" i="14" l="1"/>
  <c r="J18" i="14"/>
  <c r="G18" i="14"/>
  <c r="J16" i="14"/>
  <c r="J21" i="13"/>
  <c r="M21" i="13"/>
  <c r="G21" i="13"/>
  <c r="J19" i="13"/>
  <c r="J18" i="13"/>
  <c r="J34" i="11"/>
  <c r="G34" i="11"/>
  <c r="J61" i="10"/>
  <c r="G61" i="10"/>
  <c r="J46" i="10"/>
  <c r="J44" i="10"/>
  <c r="M18" i="8"/>
  <c r="J18" i="8"/>
  <c r="G18" i="8"/>
  <c r="M23" i="7"/>
  <c r="J23" i="7"/>
  <c r="G23" i="7"/>
  <c r="M27" i="6"/>
  <c r="J27" i="6"/>
  <c r="G27" i="6"/>
  <c r="E310" i="15" l="1"/>
  <c r="K309" i="15" s="1"/>
  <c r="L309" i="15"/>
  <c r="I309" i="15"/>
  <c r="G309" i="15"/>
  <c r="E308" i="15"/>
  <c r="K307" i="15" s="1"/>
  <c r="L307" i="15"/>
  <c r="I307" i="15"/>
  <c r="G307" i="15"/>
  <c r="E306" i="15"/>
  <c r="K305" i="15" s="1"/>
  <c r="L305" i="15"/>
  <c r="I305" i="15"/>
  <c r="G305" i="15"/>
  <c r="E304" i="15"/>
  <c r="K303" i="15" s="1"/>
  <c r="L303" i="15"/>
  <c r="I303" i="15"/>
  <c r="G303" i="15"/>
  <c r="L301" i="15"/>
  <c r="I301" i="15"/>
  <c r="H301" i="15"/>
  <c r="K301" i="15" s="1"/>
  <c r="G301" i="15"/>
  <c r="L299" i="15"/>
  <c r="I299" i="15"/>
  <c r="J299" i="15" s="1"/>
  <c r="K299" i="15"/>
  <c r="G299" i="15"/>
  <c r="L298" i="15"/>
  <c r="I298" i="15"/>
  <c r="K298" i="15"/>
  <c r="G298" i="15"/>
  <c r="L296" i="15"/>
  <c r="I296" i="15"/>
  <c r="H296" i="15"/>
  <c r="K296" i="15" s="1"/>
  <c r="G296" i="15"/>
  <c r="E287" i="15"/>
  <c r="H286" i="15" s="1"/>
  <c r="K286" i="15" s="1"/>
  <c r="L286" i="15"/>
  <c r="I286" i="15"/>
  <c r="G286" i="15"/>
  <c r="E285" i="15"/>
  <c r="H284" i="15" s="1"/>
  <c r="K284" i="15" s="1"/>
  <c r="L284" i="15"/>
  <c r="I284" i="15"/>
  <c r="G284" i="15"/>
  <c r="E283" i="15"/>
  <c r="H282" i="15" s="1"/>
  <c r="K282" i="15" s="1"/>
  <c r="L282" i="15"/>
  <c r="I282" i="15"/>
  <c r="G282" i="15"/>
  <c r="E281" i="15"/>
  <c r="H280" i="15" s="1"/>
  <c r="K280" i="15" s="1"/>
  <c r="L280" i="15"/>
  <c r="I280" i="15"/>
  <c r="G280" i="15"/>
  <c r="L278" i="15"/>
  <c r="I278" i="15"/>
  <c r="H278" i="15"/>
  <c r="K278" i="15" s="1"/>
  <c r="G278" i="15"/>
  <c r="L277" i="15"/>
  <c r="I277" i="15"/>
  <c r="H277" i="15"/>
  <c r="K277" i="15" s="1"/>
  <c r="G277" i="15"/>
  <c r="L275" i="15"/>
  <c r="I275" i="15"/>
  <c r="H275" i="15"/>
  <c r="K275" i="15" s="1"/>
  <c r="G275" i="15"/>
  <c r="L274" i="15"/>
  <c r="I274" i="15"/>
  <c r="H274" i="15"/>
  <c r="K274" i="15" s="1"/>
  <c r="G274" i="15"/>
  <c r="L272" i="15"/>
  <c r="I272" i="15"/>
  <c r="H272" i="15"/>
  <c r="K272" i="15" s="1"/>
  <c r="G272" i="15"/>
  <c r="E263" i="15"/>
  <c r="H262" i="15" s="1"/>
  <c r="K262" i="15" s="1"/>
  <c r="L262" i="15"/>
  <c r="I262" i="15"/>
  <c r="G262" i="15"/>
  <c r="E261" i="15"/>
  <c r="H260" i="15" s="1"/>
  <c r="K260" i="15" s="1"/>
  <c r="L260" i="15"/>
  <c r="I260" i="15"/>
  <c r="G260" i="15"/>
  <c r="E259" i="15"/>
  <c r="H258" i="15" s="1"/>
  <c r="K258" i="15" s="1"/>
  <c r="L258" i="15"/>
  <c r="I258" i="15"/>
  <c r="G258" i="15"/>
  <c r="E257" i="15"/>
  <c r="H256" i="15" s="1"/>
  <c r="K256" i="15" s="1"/>
  <c r="L256" i="15"/>
  <c r="I256" i="15"/>
  <c r="G256" i="15"/>
  <c r="L254" i="15"/>
  <c r="I254" i="15"/>
  <c r="H254" i="15"/>
  <c r="K254" i="15" s="1"/>
  <c r="G254" i="15"/>
  <c r="L253" i="15"/>
  <c r="I253" i="15"/>
  <c r="H253" i="15"/>
  <c r="K253" i="15" s="1"/>
  <c r="G253" i="15"/>
  <c r="L251" i="15"/>
  <c r="I251" i="15"/>
  <c r="H251" i="15"/>
  <c r="K251" i="15" s="1"/>
  <c r="G251" i="15"/>
  <c r="L250" i="15"/>
  <c r="I250" i="15"/>
  <c r="H250" i="15"/>
  <c r="K250" i="15" s="1"/>
  <c r="G250" i="15"/>
  <c r="E248" i="15"/>
  <c r="L247" i="15"/>
  <c r="I247" i="15"/>
  <c r="H247" i="15"/>
  <c r="K247" i="15" s="1"/>
  <c r="G247" i="15"/>
  <c r="L246" i="15"/>
  <c r="I246" i="15"/>
  <c r="H246" i="15"/>
  <c r="K246" i="15" s="1"/>
  <c r="G246" i="15"/>
  <c r="L237" i="15"/>
  <c r="K237" i="15"/>
  <c r="G237" i="15"/>
  <c r="L236" i="15"/>
  <c r="I236" i="15"/>
  <c r="H236" i="15"/>
  <c r="K236" i="15" s="1"/>
  <c r="G236" i="15"/>
  <c r="L235" i="15"/>
  <c r="I235" i="15"/>
  <c r="H235" i="15"/>
  <c r="K235" i="15" s="1"/>
  <c r="G235" i="15"/>
  <c r="L234" i="15"/>
  <c r="I234" i="15"/>
  <c r="H234" i="15"/>
  <c r="K234" i="15" s="1"/>
  <c r="G234" i="15"/>
  <c r="L233" i="15"/>
  <c r="I233" i="15"/>
  <c r="H233" i="15"/>
  <c r="K233" i="15" s="1"/>
  <c r="G233" i="15"/>
  <c r="L231" i="15"/>
  <c r="I231" i="15"/>
  <c r="H231" i="15"/>
  <c r="K231" i="15" s="1"/>
  <c r="G231" i="15"/>
  <c r="L229" i="15"/>
  <c r="I229" i="15"/>
  <c r="H229" i="15"/>
  <c r="K229" i="15" s="1"/>
  <c r="G229" i="15"/>
  <c r="L228" i="15"/>
  <c r="I228" i="15"/>
  <c r="H228" i="15"/>
  <c r="K228" i="15" s="1"/>
  <c r="G228" i="15"/>
  <c r="L226" i="15"/>
  <c r="I226" i="15"/>
  <c r="H226" i="15"/>
  <c r="K226" i="15" s="1"/>
  <c r="G226" i="15"/>
  <c r="L225" i="15"/>
  <c r="I225" i="15"/>
  <c r="H225" i="15"/>
  <c r="K225" i="15" s="1"/>
  <c r="G225" i="15"/>
  <c r="L224" i="15"/>
  <c r="I224" i="15"/>
  <c r="H224" i="15"/>
  <c r="K224" i="15" s="1"/>
  <c r="G224" i="15"/>
  <c r="L215" i="15"/>
  <c r="I215" i="15"/>
  <c r="H215" i="15"/>
  <c r="K215" i="15" s="1"/>
  <c r="G215" i="15"/>
  <c r="L214" i="15"/>
  <c r="I214" i="15"/>
  <c r="H214" i="15"/>
  <c r="K214" i="15" s="1"/>
  <c r="G214" i="15"/>
  <c r="L213" i="15"/>
  <c r="I213" i="15"/>
  <c r="H213" i="15"/>
  <c r="K213" i="15" s="1"/>
  <c r="G213" i="15"/>
  <c r="L212" i="15"/>
  <c r="I212" i="15"/>
  <c r="H212" i="15"/>
  <c r="K212" i="15" s="1"/>
  <c r="G212" i="15"/>
  <c r="L210" i="15"/>
  <c r="I210" i="15"/>
  <c r="H210" i="15"/>
  <c r="K210" i="15" s="1"/>
  <c r="G210" i="15"/>
  <c r="L209" i="15"/>
  <c r="I209" i="15"/>
  <c r="H209" i="15"/>
  <c r="K209" i="15" s="1"/>
  <c r="G209" i="15"/>
  <c r="L207" i="15"/>
  <c r="I207" i="15"/>
  <c r="H207" i="15"/>
  <c r="K207" i="15" s="1"/>
  <c r="G207" i="15"/>
  <c r="L206" i="15"/>
  <c r="I206" i="15"/>
  <c r="H206" i="15"/>
  <c r="K206" i="15" s="1"/>
  <c r="G206" i="15"/>
  <c r="L204" i="15"/>
  <c r="I204" i="15"/>
  <c r="H204" i="15"/>
  <c r="K204" i="15" s="1"/>
  <c r="G204" i="15"/>
  <c r="L195" i="15"/>
  <c r="I195" i="15"/>
  <c r="H195" i="15"/>
  <c r="K195" i="15" s="1"/>
  <c r="G195" i="15"/>
  <c r="L194" i="15"/>
  <c r="I194" i="15"/>
  <c r="H194" i="15"/>
  <c r="G194" i="15"/>
  <c r="L193" i="15"/>
  <c r="I193" i="15"/>
  <c r="H193" i="15"/>
  <c r="K193" i="15" s="1"/>
  <c r="G193" i="15"/>
  <c r="L192" i="15"/>
  <c r="I192" i="15"/>
  <c r="H192" i="15"/>
  <c r="K192" i="15" s="1"/>
  <c r="G192" i="15"/>
  <c r="L190" i="15"/>
  <c r="I190" i="15"/>
  <c r="H190" i="15"/>
  <c r="K190" i="15" s="1"/>
  <c r="G190" i="15"/>
  <c r="L189" i="15"/>
  <c r="I189" i="15"/>
  <c r="H189" i="15"/>
  <c r="K189" i="15" s="1"/>
  <c r="G189" i="15"/>
  <c r="L187" i="15"/>
  <c r="I187" i="15"/>
  <c r="H187" i="15"/>
  <c r="K187" i="15" s="1"/>
  <c r="G187" i="15"/>
  <c r="L186" i="15"/>
  <c r="I186" i="15"/>
  <c r="H186" i="15"/>
  <c r="K186" i="15" s="1"/>
  <c r="G186" i="15"/>
  <c r="L184" i="15"/>
  <c r="I184" i="15"/>
  <c r="H184" i="15"/>
  <c r="K184" i="15" s="1"/>
  <c r="G184" i="15"/>
  <c r="E175" i="15"/>
  <c r="H174" i="15" s="1"/>
  <c r="K174" i="15" s="1"/>
  <c r="L174" i="15"/>
  <c r="I174" i="15"/>
  <c r="G174" i="15"/>
  <c r="E173" i="15"/>
  <c r="H172" i="15" s="1"/>
  <c r="K172" i="15" s="1"/>
  <c r="L172" i="15"/>
  <c r="I172" i="15"/>
  <c r="G172" i="15"/>
  <c r="E171" i="15"/>
  <c r="H170" i="15" s="1"/>
  <c r="K170" i="15" s="1"/>
  <c r="L170" i="15"/>
  <c r="I170" i="15"/>
  <c r="G170" i="15"/>
  <c r="E169" i="15"/>
  <c r="H168" i="15" s="1"/>
  <c r="K168" i="15" s="1"/>
  <c r="L168" i="15"/>
  <c r="I168" i="15"/>
  <c r="G168" i="15"/>
  <c r="L166" i="15"/>
  <c r="I166" i="15"/>
  <c r="H166" i="15"/>
  <c r="K166" i="15" s="1"/>
  <c r="G166" i="15"/>
  <c r="L164" i="15"/>
  <c r="I164" i="15"/>
  <c r="H164" i="15"/>
  <c r="K164" i="15" s="1"/>
  <c r="G164" i="15"/>
  <c r="L163" i="15"/>
  <c r="I163" i="15"/>
  <c r="H163" i="15"/>
  <c r="K163" i="15" s="1"/>
  <c r="G163" i="15"/>
  <c r="L161" i="15"/>
  <c r="I161" i="15"/>
  <c r="H161" i="15"/>
  <c r="K161" i="15" s="1"/>
  <c r="G161" i="15"/>
  <c r="E152" i="15"/>
  <c r="H151" i="15" s="1"/>
  <c r="K151" i="15" s="1"/>
  <c r="L151" i="15"/>
  <c r="I151" i="15"/>
  <c r="G151" i="15"/>
  <c r="E150" i="15"/>
  <c r="H149" i="15" s="1"/>
  <c r="L149" i="15"/>
  <c r="I149" i="15"/>
  <c r="G149" i="15"/>
  <c r="E148" i="15"/>
  <c r="H147" i="15" s="1"/>
  <c r="L147" i="15"/>
  <c r="I147" i="15"/>
  <c r="G147" i="15"/>
  <c r="E146" i="15"/>
  <c r="H145" i="15" s="1"/>
  <c r="K145" i="15" s="1"/>
  <c r="L145" i="15"/>
  <c r="I145" i="15"/>
  <c r="G145" i="15"/>
  <c r="L142" i="15"/>
  <c r="I142" i="15"/>
  <c r="H142" i="15"/>
  <c r="K142" i="15" s="1"/>
  <c r="G142" i="15"/>
  <c r="L141" i="15"/>
  <c r="I141" i="15"/>
  <c r="H141" i="15"/>
  <c r="K141" i="15" s="1"/>
  <c r="G141" i="15"/>
  <c r="E139" i="15"/>
  <c r="L138" i="15"/>
  <c r="I138" i="15"/>
  <c r="H138" i="15"/>
  <c r="K138" i="15" s="1"/>
  <c r="G138" i="15"/>
  <c r="E137" i="15"/>
  <c r="H136" i="15" s="1"/>
  <c r="L136" i="15"/>
  <c r="I136" i="15"/>
  <c r="G136" i="15"/>
  <c r="E134" i="15"/>
  <c r="H133" i="15" s="1"/>
  <c r="L133" i="15"/>
  <c r="I133" i="15"/>
  <c r="G133" i="15"/>
  <c r="E124" i="15"/>
  <c r="H123" i="15" s="1"/>
  <c r="K123" i="15" s="1"/>
  <c r="L123" i="15"/>
  <c r="I123" i="15"/>
  <c r="G123" i="15"/>
  <c r="E122" i="15"/>
  <c r="H121" i="15" s="1"/>
  <c r="K121" i="15" s="1"/>
  <c r="L121" i="15"/>
  <c r="I121" i="15"/>
  <c r="G121" i="15"/>
  <c r="E120" i="15"/>
  <c r="H119" i="15" s="1"/>
  <c r="K119" i="15" s="1"/>
  <c r="L119" i="15"/>
  <c r="I119" i="15"/>
  <c r="G119" i="15"/>
  <c r="E118" i="15"/>
  <c r="H117" i="15" s="1"/>
  <c r="K117" i="15" s="1"/>
  <c r="L117" i="15"/>
  <c r="I117" i="15"/>
  <c r="G117" i="15"/>
  <c r="L115" i="15"/>
  <c r="I115" i="15"/>
  <c r="H115" i="15"/>
  <c r="K115" i="15" s="1"/>
  <c r="G115" i="15"/>
  <c r="L114" i="15"/>
  <c r="I114" i="15"/>
  <c r="G114" i="15"/>
  <c r="H112" i="15"/>
  <c r="H111" i="15" s="1"/>
  <c r="L111" i="15"/>
  <c r="I111" i="15"/>
  <c r="G111" i="15"/>
  <c r="G102" i="15"/>
  <c r="E102" i="15"/>
  <c r="H101" i="15" s="1"/>
  <c r="K101" i="15" s="1"/>
  <c r="L101" i="15"/>
  <c r="I101" i="15"/>
  <c r="G101" i="15"/>
  <c r="G100" i="15"/>
  <c r="E100" i="15"/>
  <c r="H99" i="15" s="1"/>
  <c r="K99" i="15" s="1"/>
  <c r="L99" i="15"/>
  <c r="I99" i="15"/>
  <c r="G99" i="15"/>
  <c r="G98" i="15"/>
  <c r="E98" i="15"/>
  <c r="H97" i="15" s="1"/>
  <c r="L97" i="15"/>
  <c r="I97" i="15"/>
  <c r="G97" i="15"/>
  <c r="G96" i="15"/>
  <c r="E96" i="15"/>
  <c r="H95" i="15" s="1"/>
  <c r="K95" i="15" s="1"/>
  <c r="L95" i="15"/>
  <c r="I95" i="15"/>
  <c r="G95" i="15"/>
  <c r="L93" i="15"/>
  <c r="I93" i="15"/>
  <c r="H93" i="15"/>
  <c r="K93" i="15" s="1"/>
  <c r="G93" i="15"/>
  <c r="L92" i="15"/>
  <c r="I92" i="15"/>
  <c r="H92" i="15"/>
  <c r="K92" i="15" s="1"/>
  <c r="G92" i="15"/>
  <c r="H90" i="15"/>
  <c r="H89" i="15" s="1"/>
  <c r="K89" i="15" s="1"/>
  <c r="L89" i="15"/>
  <c r="I89" i="15"/>
  <c r="G89" i="15"/>
  <c r="E80" i="15"/>
  <c r="H79" i="15" s="1"/>
  <c r="L79" i="15"/>
  <c r="I79" i="15"/>
  <c r="G79" i="15"/>
  <c r="E78" i="15"/>
  <c r="H77" i="15" s="1"/>
  <c r="L77" i="15"/>
  <c r="I77" i="15"/>
  <c r="G77" i="15"/>
  <c r="E76" i="15"/>
  <c r="H75" i="15" s="1"/>
  <c r="K75" i="15" s="1"/>
  <c r="L75" i="15"/>
  <c r="I75" i="15"/>
  <c r="G75" i="15"/>
  <c r="E74" i="15"/>
  <c r="H73" i="15" s="1"/>
  <c r="K73" i="15" s="1"/>
  <c r="L73" i="15"/>
  <c r="I73" i="15"/>
  <c r="G73" i="15"/>
  <c r="E71" i="15"/>
  <c r="H70" i="15" s="1"/>
  <c r="K70" i="15" s="1"/>
  <c r="L70" i="15"/>
  <c r="I70" i="15"/>
  <c r="G70" i="15"/>
  <c r="E61" i="15"/>
  <c r="H60" i="15" s="1"/>
  <c r="K60" i="15" s="1"/>
  <c r="L60" i="15"/>
  <c r="I60" i="15"/>
  <c r="G60" i="15"/>
  <c r="E59" i="15"/>
  <c r="H58" i="15" s="1"/>
  <c r="L58" i="15"/>
  <c r="I58" i="15"/>
  <c r="G58" i="15"/>
  <c r="E57" i="15"/>
  <c r="H56" i="15" s="1"/>
  <c r="K56" i="15" s="1"/>
  <c r="L56" i="15"/>
  <c r="I56" i="15"/>
  <c r="G56" i="15"/>
  <c r="E55" i="15"/>
  <c r="H54" i="15" s="1"/>
  <c r="K54" i="15" s="1"/>
  <c r="L54" i="15"/>
  <c r="I54" i="15"/>
  <c r="G54" i="15"/>
  <c r="L52" i="15"/>
  <c r="K52" i="15"/>
  <c r="I52" i="15"/>
  <c r="J52" i="15" s="1"/>
  <c r="G52" i="15"/>
  <c r="L51" i="15"/>
  <c r="K51" i="15"/>
  <c r="I51" i="15"/>
  <c r="J51" i="15" s="1"/>
  <c r="G51" i="15"/>
  <c r="E49" i="15"/>
  <c r="H48" i="15" s="1"/>
  <c r="L48" i="15"/>
  <c r="I48" i="15"/>
  <c r="G48" i="15"/>
  <c r="L46" i="15"/>
  <c r="I46" i="15"/>
  <c r="H46" i="15"/>
  <c r="K46" i="15" s="1"/>
  <c r="G46" i="15"/>
  <c r="E44" i="15"/>
  <c r="H43" i="15" s="1"/>
  <c r="L43" i="15"/>
  <c r="I43" i="15"/>
  <c r="G43" i="15"/>
  <c r="E35" i="15"/>
  <c r="H34" i="15" s="1"/>
  <c r="K34" i="15" s="1"/>
  <c r="L34" i="15"/>
  <c r="I34" i="15"/>
  <c r="G34" i="15"/>
  <c r="G33" i="15"/>
  <c r="E33" i="15"/>
  <c r="H32" i="15" s="1"/>
  <c r="L32" i="15"/>
  <c r="I32" i="15"/>
  <c r="G32" i="15"/>
  <c r="J31" i="15"/>
  <c r="E31" i="15"/>
  <c r="H30" i="15" s="1"/>
  <c r="K30" i="15" s="1"/>
  <c r="L30" i="15"/>
  <c r="I30" i="15"/>
  <c r="G30" i="15"/>
  <c r="J29" i="15"/>
  <c r="E29" i="15"/>
  <c r="H28" i="15" s="1"/>
  <c r="K28" i="15" s="1"/>
  <c r="L28" i="15"/>
  <c r="I28" i="15"/>
  <c r="G28" i="15"/>
  <c r="L26" i="15"/>
  <c r="K26" i="15"/>
  <c r="I26" i="15"/>
  <c r="J26" i="15" s="1"/>
  <c r="G26" i="15"/>
  <c r="L25" i="15"/>
  <c r="K25" i="15"/>
  <c r="I25" i="15"/>
  <c r="J25" i="15" s="1"/>
  <c r="G25" i="15"/>
  <c r="L23" i="15"/>
  <c r="I23" i="15"/>
  <c r="H23" i="15"/>
  <c r="G23" i="15"/>
  <c r="L22" i="15"/>
  <c r="I22" i="15"/>
  <c r="G22" i="15"/>
  <c r="H20" i="15"/>
  <c r="H19" i="15" s="1"/>
  <c r="L19" i="15"/>
  <c r="I19" i="15"/>
  <c r="G19" i="15"/>
  <c r="M299" i="15" l="1"/>
  <c r="J23" i="15"/>
  <c r="M93" i="15"/>
  <c r="M296" i="15"/>
  <c r="J147" i="15"/>
  <c r="M186" i="15"/>
  <c r="J233" i="15"/>
  <c r="J235" i="15"/>
  <c r="J237" i="15"/>
  <c r="J247" i="15"/>
  <c r="J296" i="15"/>
  <c r="J164" i="15"/>
  <c r="J149" i="15"/>
  <c r="J226" i="15"/>
  <c r="G217" i="15"/>
  <c r="J75" i="15"/>
  <c r="J228" i="15"/>
  <c r="M234" i="15"/>
  <c r="M236" i="15"/>
  <c r="J250" i="15"/>
  <c r="J166" i="15"/>
  <c r="J93" i="15"/>
  <c r="G82" i="15"/>
  <c r="M170" i="15"/>
  <c r="J192" i="15"/>
  <c r="J210" i="15"/>
  <c r="M213" i="15"/>
  <c r="J163" i="15"/>
  <c r="J274" i="15"/>
  <c r="J46" i="15"/>
  <c r="M25" i="15"/>
  <c r="J231" i="15"/>
  <c r="M250" i="15"/>
  <c r="M193" i="15"/>
  <c r="J184" i="15"/>
  <c r="J187" i="15"/>
  <c r="J193" i="15"/>
  <c r="J195" i="15"/>
  <c r="J206" i="15"/>
  <c r="J298" i="15"/>
  <c r="K77" i="15"/>
  <c r="M77" i="15" s="1"/>
  <c r="J77" i="15"/>
  <c r="K79" i="15"/>
  <c r="M79" i="15" s="1"/>
  <c r="J79" i="15"/>
  <c r="M189" i="15"/>
  <c r="M229" i="15"/>
  <c r="M75" i="15"/>
  <c r="M70" i="15"/>
  <c r="M73" i="15"/>
  <c r="M95" i="15"/>
  <c r="M187" i="15"/>
  <c r="M210" i="15"/>
  <c r="J215" i="15"/>
  <c r="J225" i="15"/>
  <c r="M253" i="15"/>
  <c r="J275" i="15"/>
  <c r="J73" i="15"/>
  <c r="G126" i="15"/>
  <c r="M142" i="15"/>
  <c r="M225" i="15"/>
  <c r="M303" i="15"/>
  <c r="M89" i="15"/>
  <c r="J115" i="15"/>
  <c r="G265" i="15"/>
  <c r="M254" i="15"/>
  <c r="M275" i="15"/>
  <c r="K23" i="15"/>
  <c r="M23" i="15" s="1"/>
  <c r="M119" i="15"/>
  <c r="M123" i="15"/>
  <c r="M206" i="15"/>
  <c r="J212" i="15"/>
  <c r="J234" i="15"/>
  <c r="J236" i="15"/>
  <c r="J92" i="15"/>
  <c r="M164" i="15"/>
  <c r="J189" i="15"/>
  <c r="J194" i="15"/>
  <c r="M204" i="15"/>
  <c r="J229" i="15"/>
  <c r="M274" i="15"/>
  <c r="J277" i="15"/>
  <c r="J301" i="15"/>
  <c r="M305" i="15"/>
  <c r="M309" i="15"/>
  <c r="J58" i="15"/>
  <c r="K58" i="15"/>
  <c r="M58" i="15" s="1"/>
  <c r="J97" i="15"/>
  <c r="K97" i="15"/>
  <c r="M97" i="15" s="1"/>
  <c r="J101" i="15"/>
  <c r="M247" i="15"/>
  <c r="G36" i="15"/>
  <c r="M34" i="15"/>
  <c r="J56" i="15"/>
  <c r="J89" i="15"/>
  <c r="J95" i="15"/>
  <c r="M99" i="15"/>
  <c r="J34" i="15"/>
  <c r="J70" i="15"/>
  <c r="M117" i="15"/>
  <c r="M121" i="15"/>
  <c r="M138" i="15"/>
  <c r="J142" i="15"/>
  <c r="G177" i="15"/>
  <c r="M166" i="15"/>
  <c r="J170" i="15"/>
  <c r="M184" i="15"/>
  <c r="M192" i="15"/>
  <c r="M195" i="15"/>
  <c r="J213" i="15"/>
  <c r="M215" i="15"/>
  <c r="M226" i="15"/>
  <c r="M237" i="15"/>
  <c r="M256" i="15"/>
  <c r="M260" i="15"/>
  <c r="J272" i="15"/>
  <c r="J286" i="15"/>
  <c r="J280" i="15"/>
  <c r="M307" i="15"/>
  <c r="M272" i="15"/>
  <c r="M280" i="15"/>
  <c r="J54" i="15"/>
  <c r="J161" i="15"/>
  <c r="J174" i="15"/>
  <c r="M26" i="15"/>
  <c r="G63" i="15"/>
  <c r="M46" i="15"/>
  <c r="M92" i="15"/>
  <c r="M161" i="15"/>
  <c r="J168" i="15"/>
  <c r="M174" i="15"/>
  <c r="J186" i="15"/>
  <c r="K194" i="15"/>
  <c r="M194" i="15" s="1"/>
  <c r="J204" i="15"/>
  <c r="G239" i="15"/>
  <c r="J246" i="15"/>
  <c r="J251" i="15"/>
  <c r="J284" i="15"/>
  <c r="G312" i="15"/>
  <c r="M231" i="15"/>
  <c r="J30" i="15"/>
  <c r="J60" i="15"/>
  <c r="M115" i="15"/>
  <c r="M168" i="15"/>
  <c r="M190" i="15"/>
  <c r="J207" i="15"/>
  <c r="M224" i="15"/>
  <c r="M233" i="15"/>
  <c r="M235" i="15"/>
  <c r="J254" i="15"/>
  <c r="M258" i="15"/>
  <c r="M262" i="15"/>
  <c r="J278" i="15"/>
  <c r="M301" i="15"/>
  <c r="G104" i="15"/>
  <c r="J99" i="15"/>
  <c r="G154" i="15"/>
  <c r="M141" i="15"/>
  <c r="M163" i="15"/>
  <c r="J172" i="15"/>
  <c r="G197" i="15"/>
  <c r="M212" i="15"/>
  <c r="J214" i="15"/>
  <c r="J224" i="15"/>
  <c r="M246" i="15"/>
  <c r="M251" i="15"/>
  <c r="J190" i="15"/>
  <c r="J28" i="15"/>
  <c r="M30" i="15"/>
  <c r="M207" i="15"/>
  <c r="M228" i="15"/>
  <c r="G289" i="15"/>
  <c r="M278" i="15"/>
  <c r="J282" i="15"/>
  <c r="M298" i="15"/>
  <c r="J303" i="15"/>
  <c r="J307" i="15"/>
  <c r="J305" i="15"/>
  <c r="J309" i="15"/>
  <c r="M284" i="15"/>
  <c r="M282" i="15"/>
  <c r="M277" i="15"/>
  <c r="M286" i="15"/>
  <c r="J256" i="15"/>
  <c r="J260" i="15"/>
  <c r="J258" i="15"/>
  <c r="J262" i="15"/>
  <c r="J253" i="15"/>
  <c r="M214" i="15"/>
  <c r="M209" i="15"/>
  <c r="J209" i="15"/>
  <c r="M172" i="15"/>
  <c r="K133" i="15"/>
  <c r="M133" i="15" s="1"/>
  <c r="J133" i="15"/>
  <c r="K136" i="15"/>
  <c r="M136" i="15" s="1"/>
  <c r="J136" i="15"/>
  <c r="M151" i="15"/>
  <c r="M145" i="15"/>
  <c r="J145" i="15"/>
  <c r="J151" i="15"/>
  <c r="K147" i="15"/>
  <c r="M147" i="15" s="1"/>
  <c r="K149" i="15"/>
  <c r="M149" i="15" s="1"/>
  <c r="J138" i="15"/>
  <c r="J141" i="15"/>
  <c r="K111" i="15"/>
  <c r="M111" i="15" s="1"/>
  <c r="H114" i="15"/>
  <c r="K114" i="15" s="1"/>
  <c r="M114" i="15" s="1"/>
  <c r="J117" i="15"/>
  <c r="J121" i="15"/>
  <c r="J111" i="15"/>
  <c r="J119" i="15"/>
  <c r="J123" i="15"/>
  <c r="M101" i="15"/>
  <c r="M51" i="15"/>
  <c r="M56" i="15"/>
  <c r="M54" i="15"/>
  <c r="M52" i="15"/>
  <c r="K43" i="15"/>
  <c r="M43" i="15" s="1"/>
  <c r="J43" i="15"/>
  <c r="K48" i="15"/>
  <c r="M48" i="15" s="1"/>
  <c r="J48" i="15"/>
  <c r="M60" i="15"/>
  <c r="K32" i="15"/>
  <c r="M32" i="15" s="1"/>
  <c r="J32" i="15"/>
  <c r="J19" i="15"/>
  <c r="K19" i="15"/>
  <c r="M19" i="15" s="1"/>
  <c r="H22" i="15"/>
  <c r="M28" i="15"/>
  <c r="J104" i="15" l="1"/>
  <c r="G314" i="15"/>
  <c r="J239" i="15"/>
  <c r="J289" i="15"/>
  <c r="J217" i="15"/>
  <c r="J197" i="15"/>
  <c r="M312" i="15"/>
  <c r="M82" i="15"/>
  <c r="M265" i="15"/>
  <c r="M239" i="15"/>
  <c r="M197" i="15"/>
  <c r="J177" i="15"/>
  <c r="M217" i="15"/>
  <c r="J82" i="15"/>
  <c r="J312" i="15"/>
  <c r="M289" i="15"/>
  <c r="J265" i="15"/>
  <c r="J63" i="15"/>
  <c r="M126" i="15"/>
  <c r="M177" i="15"/>
  <c r="M104" i="15"/>
  <c r="M154" i="15"/>
  <c r="J154" i="15"/>
  <c r="J114" i="15"/>
  <c r="M63" i="15"/>
  <c r="K22" i="15"/>
  <c r="M22" i="15" s="1"/>
  <c r="M36" i="15" s="1"/>
  <c r="J22" i="15"/>
  <c r="J36" i="15" s="1"/>
  <c r="J325" i="15" l="1"/>
  <c r="M314" i="15"/>
  <c r="J314" i="15"/>
  <c r="D27" i="1" s="1"/>
  <c r="J126" i="15"/>
  <c r="C27" i="1" l="1"/>
</calcChain>
</file>

<file path=xl/sharedStrings.xml><?xml version="1.0" encoding="utf-8"?>
<sst xmlns="http://schemas.openxmlformats.org/spreadsheetml/2006/main" count="1831" uniqueCount="374">
  <si>
    <t>NÁZEV AKCE :</t>
  </si>
  <si>
    <t>Odkanalizování povodí Jizery - část B</t>
  </si>
  <si>
    <t xml:space="preserve">UCELENÁ ČÁST STAVBY : </t>
  </si>
  <si>
    <t>ČÍSLO SMLOUVY OBJEDNATELE :</t>
  </si>
  <si>
    <t xml:space="preserve">VRI/SOD/2020/12/Ži </t>
  </si>
  <si>
    <t>ČÍSLO SMLOUVY ZHOTOVITELE :</t>
  </si>
  <si>
    <t>VCES-6003</t>
  </si>
  <si>
    <t>OBJEDNATEL :</t>
  </si>
  <si>
    <t>Vodovody a kanalizace Mladá Boleslav a.s.</t>
  </si>
  <si>
    <t>ZHOTOVITEL :</t>
  </si>
  <si>
    <t>VCES a.s.</t>
  </si>
  <si>
    <t>číslo ZL</t>
  </si>
  <si>
    <t>popis</t>
  </si>
  <si>
    <t>cenový dopad (Kč bez DPH)</t>
  </si>
  <si>
    <t>cena dle SoD</t>
  </si>
  <si>
    <t>Vícepráce - Méněpráce</t>
  </si>
  <si>
    <t>Nová cena celkem</t>
  </si>
  <si>
    <t>Celkem:</t>
  </si>
  <si>
    <t>Zhotovitel:</t>
  </si>
  <si>
    <t>Dne:</t>
  </si>
  <si>
    <t>Autorský dozor:</t>
  </si>
  <si>
    <t>Správce stavby:</t>
  </si>
  <si>
    <t>Objednatel:</t>
  </si>
  <si>
    <t>VRI/SOD/2020/12/Ži</t>
  </si>
  <si>
    <t>Vododvody a kanalizace Mladá Boleslav, a.s.</t>
  </si>
  <si>
    <t>KRYCÍ LIST ZMĚNOVÉHO LISTU č.004</t>
  </si>
  <si>
    <t>004-01</t>
  </si>
  <si>
    <t>Přetřídění zeminy A3 - úsek Š59-ŠP60-ŠP61</t>
  </si>
  <si>
    <t>Úprava hloubení a přetřídění zeminy</t>
  </si>
  <si>
    <t>Přetřídění zeminy</t>
  </si>
  <si>
    <t>004-05</t>
  </si>
  <si>
    <t>Rozdíl betonů (sedlové lože pod potrubí) dle PD (skutečnosti) a VV</t>
  </si>
  <si>
    <t>004-06</t>
  </si>
  <si>
    <t>Rozdíl realizace asfaltů dle skutečnosti a VV KSÚS</t>
  </si>
  <si>
    <t>004-07</t>
  </si>
  <si>
    <t>Navýšení čerpání vody dle skutečnosti a VV na stoce A</t>
  </si>
  <si>
    <t>Kanalizační stoky gravitační - Stoka A3 (100 bm) + A5 (40 bm)</t>
  </si>
  <si>
    <t>004-09</t>
  </si>
  <si>
    <t>Prodloužení vodovodu o 13 m v komunikaci</t>
  </si>
  <si>
    <t>004-10</t>
  </si>
  <si>
    <t>Realizace opravy dešťové kanalizace DN 300 a DN 400 A4</t>
  </si>
  <si>
    <t>004-12</t>
  </si>
  <si>
    <t>Kanalizační přípojka č.p. 59</t>
  </si>
  <si>
    <t>004-13</t>
  </si>
  <si>
    <t>Zásypy v SÚS (štěrkodrť frakce 0-63)</t>
  </si>
  <si>
    <t>004-14</t>
  </si>
  <si>
    <t>Komunikace v SÚS (vrstva obrusná ACO 11 + frézování)</t>
  </si>
  <si>
    <t>004-15</t>
  </si>
  <si>
    <t>1.1</t>
  </si>
  <si>
    <t>Kanalizační stoky gravitační - Stoka A3. úsek Š59 - ŠP60 - ŠP61</t>
  </si>
  <si>
    <t>Cena dle SOD</t>
  </si>
  <si>
    <t>Vícepráce - méněpráce</t>
  </si>
  <si>
    <t>Číslo pozice</t>
  </si>
  <si>
    <t>Popis</t>
  </si>
  <si>
    <t>MJ</t>
  </si>
  <si>
    <t>Množství</t>
  </si>
  <si>
    <t>J.C .</t>
  </si>
  <si>
    <t>Cena
celkem</t>
  </si>
  <si>
    <t xml:space="preserve">J.C. </t>
  </si>
  <si>
    <t>Cena 
celkem</t>
  </si>
  <si>
    <t>1</t>
  </si>
  <si>
    <t>Zemní práce</t>
  </si>
  <si>
    <t>8</t>
  </si>
  <si>
    <t>K</t>
  </si>
  <si>
    <t>132201202</t>
  </si>
  <si>
    <t>Hloubení rýh š do 2000 mm v hornině tř. 3 objemu do 1000 m3</t>
  </si>
  <si>
    <t>m3</t>
  </si>
  <si>
    <t>Rýha pro kanalizaci včetně rozšíření pro revizní šachty 
Příloha: Tabulka výkazu výměr</t>
  </si>
  <si>
    <t>odpočet 25% (27,8+29,5)*1,1*3,6*0,867*0,25*-1</t>
  </si>
  <si>
    <t>26</t>
  </si>
  <si>
    <t>132501R-101</t>
  </si>
  <si>
    <t>Rozpojování pevných hornin tř.6 skalního podloží rýh š do 2000 mm  frézováním včetně svislého přemístění výkopku</t>
  </si>
  <si>
    <t>25% ve tř. těžitelnosti č. 6 -Písková Lhota</t>
  </si>
  <si>
    <t>18</t>
  </si>
  <si>
    <t>132301101</t>
  </si>
  <si>
    <t>Hloubení rýh š do 600 mm v hornině tř. 4 objemu do 100 m3</t>
  </si>
  <si>
    <t>M3</t>
  </si>
  <si>
    <t>Rýha pro drenáž ve dně výkopu</t>
  </si>
  <si>
    <t>odpočet 25% (57,3/2)*0,25*0,25*0,25*-1</t>
  </si>
  <si>
    <t>19</t>
  </si>
  <si>
    <t>132301202</t>
  </si>
  <si>
    <t>Hloubení rýh š do 2000 mm v hornině tř. 4 objemu do 1000 m3</t>
  </si>
  <si>
    <t>odpočet 25% (27,8+29,5)*1,1*3,6*0,133*0,25*-1</t>
  </si>
  <si>
    <t>20</t>
  </si>
  <si>
    <t>161101103</t>
  </si>
  <si>
    <t>Svislé přemístění výkopku z horniny tř. 1 až 4 hl výkopu do 6 m</t>
  </si>
  <si>
    <t>Výkopek z rýhy pro kanalizaci včetně rozšíření pro revizní šachty 
Příloha: Tabulka výkazu výměr</t>
  </si>
  <si>
    <t>odpočet 25% (50/2)*0,25*-1</t>
  </si>
  <si>
    <t>A3</t>
  </si>
  <si>
    <t>Svislé přemístění výkopku z horniny tř. 6 hl výkopu do 6 m</t>
  </si>
  <si>
    <t>25% ve tř. těžitelnosti č. 6 (95% z ceny ÚRS)</t>
  </si>
  <si>
    <t>25</t>
  </si>
  <si>
    <t>167101102</t>
  </si>
  <si>
    <t>Nakládání výkopku z hornin tř. 1 až 4 přes 100 m3</t>
  </si>
  <si>
    <t>Naložení výkopku na mezideponii před odvozem na trvalou skládku 
Příloha: Tabulka výkazu výměr</t>
  </si>
  <si>
    <t>odpočet 25%</t>
  </si>
  <si>
    <t>Nakládání výkopku z hornin tř. 5 až 7 přes 100 m3</t>
  </si>
  <si>
    <t>16</t>
  </si>
  <si>
    <t>111</t>
  </si>
  <si>
    <t>Vodorovné přemístění výkopku z horniny tř. 6 do 500 m</t>
  </si>
  <si>
    <t>118</t>
  </si>
  <si>
    <t>R.02-003</t>
  </si>
  <si>
    <t>Vodorovné přemístění výkopku z horniny tř. 1 až 4</t>
  </si>
  <si>
    <t>Přemístění výkopku z mezideponie na trvalou deponii. Vzdálenost dle dodavatelem zvolené mezideponie a deponie. 
Příloha: Tabulka výkazu výměr</t>
  </si>
  <si>
    <t>Vodorovné přemístění výkopku z horniny tř. 6 do 10000 m</t>
  </si>
  <si>
    <t>Změna celkem</t>
  </si>
  <si>
    <t xml:space="preserve">Správce stavby:        </t>
  </si>
  <si>
    <t xml:space="preserve">Dne:        </t>
  </si>
  <si>
    <t>Kanalizační stoka gravitační - Stoka A</t>
  </si>
  <si>
    <t>132201203</t>
  </si>
  <si>
    <t>Hloubení rýh š do 2000 mm v hornině tř. 3 objemu do 5000 m3</t>
  </si>
  <si>
    <r>
      <t xml:space="preserve">Rýha pro kanalizaci včetně rozšíření pro revizní šachty </t>
    </r>
    <r>
      <rPr>
        <i/>
        <sz val="8"/>
        <rFont val="Arial CE"/>
        <family val="2"/>
        <charset val="238"/>
      </rPr>
      <t xml:space="preserve">
</t>
    </r>
    <r>
      <rPr>
        <sz val="8"/>
        <color rgb="FF0070C0"/>
        <rFont val="Arial CE"/>
        <family val="2"/>
        <charset val="238"/>
      </rPr>
      <t>odpočet úseku Š20 - Š22</t>
    </r>
  </si>
  <si>
    <t xml:space="preserve">Hloubení zapažených rýh š do 2000 mm v hornině třídy těžitelnosti III, skupiny 6 objem od 100m3 do 500 m3                      </t>
  </si>
  <si>
    <t>(výpočet dle upraveného PP)</t>
  </si>
  <si>
    <t>odpočet úseku Š20 - Š22</t>
  </si>
  <si>
    <t xml:space="preserve">Hloubení zapažených rýh š do 2000 mm v hornině třídy těžitelnosti III, skupiny 6 objem do 100 m3                        </t>
  </si>
  <si>
    <t xml:space="preserve">Hloubení rýh š do 2000 mm v hornině tř. 4 objemu do 1000 m3 </t>
  </si>
  <si>
    <t>Přetřídění zeminy (úsek Š22 - Š23)</t>
  </si>
  <si>
    <r>
      <t xml:space="preserve">Rýha pro kanalizaci včetně rozšíření pro revizní šachty 
</t>
    </r>
    <r>
      <rPr>
        <sz val="8"/>
        <color rgb="FF0070C0"/>
        <rFont val="Arial CE"/>
        <family val="2"/>
        <charset val="238"/>
      </rPr>
      <t>odpočet úseku Š22 - Š23 (87% z 25m3)</t>
    </r>
  </si>
  <si>
    <t>Objekt:</t>
  </si>
  <si>
    <t>A</t>
  </si>
  <si>
    <t>452312131</t>
  </si>
  <si>
    <t>Sedlové lože z betonu prostého tř. C 12/15 otevřený výkop</t>
  </si>
  <si>
    <t>A1</t>
  </si>
  <si>
    <t>35</t>
  </si>
  <si>
    <t>A2</t>
  </si>
  <si>
    <t>39</t>
  </si>
  <si>
    <t>32</t>
  </si>
  <si>
    <t>A3-1</t>
  </si>
  <si>
    <t>33</t>
  </si>
  <si>
    <t>A4</t>
  </si>
  <si>
    <t>A5</t>
  </si>
  <si>
    <t>29</t>
  </si>
  <si>
    <t>A5-1</t>
  </si>
  <si>
    <t>40</t>
  </si>
  <si>
    <t>A6</t>
  </si>
  <si>
    <t>46</t>
  </si>
  <si>
    <t>PŘI</t>
  </si>
  <si>
    <t>53</t>
  </si>
  <si>
    <t>KN</t>
  </si>
  <si>
    <t xml:space="preserve"> Rozdíl betonů (sedlové lože pod potrubí) dle PD (skutečnosti) a VV</t>
  </si>
  <si>
    <t>573231111</t>
  </si>
  <si>
    <t>Postřik živičný spojovací ze silniční emulze v množství do 0,7 kg/m2</t>
  </si>
  <si>
    <t>M2</t>
  </si>
  <si>
    <t>577145112</t>
  </si>
  <si>
    <t>Asfaltový beton vrstva ložní ACL 16 (ABH) tl 50 mm š do 3 m z nemodifikovaného asfaltu</t>
  </si>
  <si>
    <t>113107223</t>
  </si>
  <si>
    <t>Odstranění podkladu pl přes 200 m2 z kameniva drceného tl 300 mm</t>
  </si>
  <si>
    <t>577166111</t>
  </si>
  <si>
    <t>Asfaltový beton vrstva ložní ACL 22 (ABVH) tl 70 mm š do 3 m z nemodifikovaného asfaltu</t>
  </si>
  <si>
    <t>11</t>
  </si>
  <si>
    <t>115101201</t>
  </si>
  <si>
    <t>Čerpání vody na dopravní výšku do 10 m průměrný přítok do 500 l/min</t>
  </si>
  <si>
    <t>HOD</t>
  </si>
  <si>
    <t>12</t>
  </si>
  <si>
    <t>115101301</t>
  </si>
  <si>
    <t>Pohotovost čerpací soupravy pro dopravní výšku do 10 m přítok do 500 l/min</t>
  </si>
  <si>
    <t>DEN</t>
  </si>
  <si>
    <t>Kanalizační stoky gravitační - Stoka A3</t>
  </si>
  <si>
    <t>Hloubení zapažených rýh š do 2000 mm v hornině třídy těžitelnosti I skupiny 3 objem do 1000 m3</t>
  </si>
  <si>
    <t>17</t>
  </si>
  <si>
    <t>151811131</t>
  </si>
  <si>
    <t>Osazení pažicího boxu hl výkopu do 4 m š do 1,2 m</t>
  </si>
  <si>
    <t>Zřízení zátažného pažení a rozepření stěn rýh hl do 4 m</t>
  </si>
  <si>
    <t>Kanalizační stoky gravitační - Stoka A5</t>
  </si>
  <si>
    <t>14</t>
  </si>
  <si>
    <t>VN</t>
  </si>
  <si>
    <t>113107152</t>
  </si>
  <si>
    <t>Odstranění podkladu pl přes 50 do 200 m2 z kameniva těženého tl 200 mm</t>
  </si>
  <si>
    <t>2</t>
  </si>
  <si>
    <t>3</t>
  </si>
  <si>
    <t>113107242</t>
  </si>
  <si>
    <t>Odstranění podkladu živičného tl 100 mm strojně pl přes 200 m2</t>
  </si>
  <si>
    <t>5</t>
  </si>
  <si>
    <t>113154233</t>
  </si>
  <si>
    <t>Frézování živičného krytu tl 50 mm pruh š 2 m pl do 1000 m2 bez překážek v trase</t>
  </si>
  <si>
    <t>9</t>
  </si>
  <si>
    <t>120001101</t>
  </si>
  <si>
    <t>Příplatek za ztížení vykopávky v blízkosti podzemního vedení</t>
  </si>
  <si>
    <t>13</t>
  </si>
  <si>
    <t>132201209</t>
  </si>
  <si>
    <t>Příplatek za lepivost k hloubení rýh š do 2000 mm v hornině tř. 3</t>
  </si>
  <si>
    <t>15</t>
  </si>
  <si>
    <t>151811231</t>
  </si>
  <si>
    <t>Odstranění pažicího boxu hl výkopu do 4 m š do 1,2 m</t>
  </si>
  <si>
    <t>161101102</t>
  </si>
  <si>
    <t>Svislé přemístění výkopku z horniny tř. 1 až 4 hl výkopu do 4 m</t>
  </si>
  <si>
    <t>171201201</t>
  </si>
  <si>
    <t>Uložení sypaniny na skládky</t>
  </si>
  <si>
    <t>22</t>
  </si>
  <si>
    <t>171201211</t>
  </si>
  <si>
    <t>Poplatek za uložení odpadu ze sypaniny na skládce (skládkovné)</t>
  </si>
  <si>
    <t>T</t>
  </si>
  <si>
    <t>23</t>
  </si>
  <si>
    <t>174101101</t>
  </si>
  <si>
    <t>Zásypání jam, šachet rýh nebo kolem objektů sypaninou se zhutněním</t>
  </si>
  <si>
    <t>175111101</t>
  </si>
  <si>
    <t>Obsypání potrubí ručně sypaninou bez prohození sítem, uloženou do 3 m</t>
  </si>
  <si>
    <t>97</t>
  </si>
  <si>
    <t>R.02-001</t>
  </si>
  <si>
    <t>98</t>
  </si>
  <si>
    <t>R.02-002</t>
  </si>
  <si>
    <t>99</t>
  </si>
  <si>
    <t>4</t>
  </si>
  <si>
    <t>Vodorovné konstrukce</t>
  </si>
  <si>
    <t>451573111</t>
  </si>
  <si>
    <t>Lože pod potrubí otevřený výkop ze štěrkopísku</t>
  </si>
  <si>
    <t>Komunikace</t>
  </si>
  <si>
    <t>38</t>
  </si>
  <si>
    <t>564251111</t>
  </si>
  <si>
    <t>Podklad nebo podsyp ze štěrkopísku ŠP tl 150 mm</t>
  </si>
  <si>
    <t>564871116</t>
  </si>
  <si>
    <t>Podklad ze štěrkodrtě ŠD tl. 300 mm</t>
  </si>
  <si>
    <t>7</t>
  </si>
  <si>
    <t>Přidružená stavební výroba</t>
  </si>
  <si>
    <t>Potrubí</t>
  </si>
  <si>
    <t>50</t>
  </si>
  <si>
    <t>851241131</t>
  </si>
  <si>
    <t>Montáž potrubí z trub litinových hrdlových s integrovaným těsněním otevřený výkop DN 80</t>
  </si>
  <si>
    <t>M</t>
  </si>
  <si>
    <t>55254080</t>
  </si>
  <si>
    <t>trouba vodovodní litinová hrdlová hrdlová zinko-aluminiový povlak K9, 6 m DN 80</t>
  </si>
  <si>
    <t>52</t>
  </si>
  <si>
    <t>857241130</t>
  </si>
  <si>
    <t>Montáž tvarovek jednoosých otevřený výkop do DN 80</t>
  </si>
  <si>
    <t>KUS</t>
  </si>
  <si>
    <t>55253892</t>
  </si>
  <si>
    <t>tvarovka přírubová s hrdlem z tvárné litiny,práškový epoxid tl 250µm EU-kus DN 80 L130mm</t>
  </si>
  <si>
    <t>77</t>
  </si>
  <si>
    <t>892241111</t>
  </si>
  <si>
    <t>Tlaková zkouška vodovodního potrubí do 80</t>
  </si>
  <si>
    <t>78</t>
  </si>
  <si>
    <t>892241112</t>
  </si>
  <si>
    <t>Zkouška průchodnosti volným nástrojem vodovodního potrubí do 80</t>
  </si>
  <si>
    <t>79</t>
  </si>
  <si>
    <t>892273122</t>
  </si>
  <si>
    <t>Proplach a dezinfekce vodovodního potrubí DN od 80 do 125</t>
  </si>
  <si>
    <t>86</t>
  </si>
  <si>
    <t>899722113</t>
  </si>
  <si>
    <t>Krytí potrubí z plastů výstražnou fólií z PVC 34cm</t>
  </si>
  <si>
    <t>Ostatní konstrukce a práce</t>
  </si>
  <si>
    <t>88</t>
  </si>
  <si>
    <t>919735113</t>
  </si>
  <si>
    <t>Řezání stávajícího živičného krytu hl do 150 mm</t>
  </si>
  <si>
    <t>89</t>
  </si>
  <si>
    <t>928621012</t>
  </si>
  <si>
    <t>Zálivka asfaltová mezi novým a starým asfalt. povrchem</t>
  </si>
  <si>
    <t>92</t>
  </si>
  <si>
    <t>997002611</t>
  </si>
  <si>
    <t>Nakládání suti a vybouraných hmot</t>
  </si>
  <si>
    <t>94</t>
  </si>
  <si>
    <t>997223845</t>
  </si>
  <si>
    <t>Poplatek za uložení na skládce (skládkovné) odpadu asfaltového bez dehtu kód odpadu 170 302</t>
  </si>
  <si>
    <t>95</t>
  </si>
  <si>
    <t>997223855</t>
  </si>
  <si>
    <t>Poplatek za uložení na skládce (skládkovné) zeminy a kameniva kód odpadu 170 504</t>
  </si>
  <si>
    <t>96</t>
  </si>
  <si>
    <t>998273102</t>
  </si>
  <si>
    <t>Přesun hmot pro trubní vedení z trub litinových otevřený výkop</t>
  </si>
  <si>
    <t>103</t>
  </si>
  <si>
    <t>R.09.001</t>
  </si>
  <si>
    <t>Vodorovná doprava suti a vybouraných hmot po suchu</t>
  </si>
  <si>
    <t>104</t>
  </si>
  <si>
    <t>R.09-002</t>
  </si>
  <si>
    <t>27</t>
  </si>
  <si>
    <t>28</t>
  </si>
  <si>
    <t>37</t>
  </si>
  <si>
    <t>58337344</t>
  </si>
  <si>
    <t>štěrkopísek frakce 0-32</t>
  </si>
  <si>
    <t>116</t>
  </si>
  <si>
    <t>117</t>
  </si>
  <si>
    <t>452311131</t>
  </si>
  <si>
    <t>Podkladní desky z betonu prostého tř. C 12/15 otevřený výkop</t>
  </si>
  <si>
    <t>Montáž potrubí z trub TBH s integrovaným pryžovým těsněním  otevřený výkop sklon do 20 % DN 300</t>
  </si>
  <si>
    <t>R</t>
  </si>
  <si>
    <t>Potrubí TBH s integrovaným pryžovým těsněním  DN 300</t>
  </si>
  <si>
    <t>Montáž potrubí z trub TBH s integrovaným pryžovým těsněním otevřený výkop sklon do 20 % DN 400</t>
  </si>
  <si>
    <t>Potrubí TBH s integrovaným pryžovým těsněním  DN 400</t>
  </si>
  <si>
    <t>Dodávka a montáž 10 m potrubí PVC DN 150 vč. 1 x odbočky DN 150</t>
  </si>
  <si>
    <t>kpl</t>
  </si>
  <si>
    <t>Hloubení rýh š do 2000 mm v hornině tř. 6 objemu do 1000 m3</t>
  </si>
  <si>
    <t>SO 01 - A Kanalizační stoky gravitační - Stoka A - UZNATELNÉ</t>
  </si>
  <si>
    <t>KSUS Holé Vrchy</t>
  </si>
  <si>
    <t>113154333</t>
  </si>
  <si>
    <t>Frézování živičného krytu tl 50 mm pruh š 2 m pl do 10000 m2 bez překážek v trase</t>
  </si>
  <si>
    <t>805,97*(0,5+0,5)</t>
  </si>
  <si>
    <t>51</t>
  </si>
  <si>
    <t>577144111</t>
  </si>
  <si>
    <t>Asfaltový beton vrstva obrusná ACO 11 (ABS) tř. I tl 50 mm š do 3 m z nemodifikovaného asfaltu</t>
  </si>
  <si>
    <t>Ostatní konstrukce a práce, bourání</t>
  </si>
  <si>
    <t>919735111</t>
  </si>
  <si>
    <t>Řezání stávajícího živičného krytu hl do 50 mm</t>
  </si>
  <si>
    <t>110</t>
  </si>
  <si>
    <t>997</t>
  </si>
  <si>
    <t>Přesun sutě</t>
  </si>
  <si>
    <t>510,91*0,128 "dle položky frézování živičného krytu tl. 50 mm</t>
  </si>
  <si>
    <t>113</t>
  </si>
  <si>
    <t>120</t>
  </si>
  <si>
    <t>121</t>
  </si>
  <si>
    <t>SO 01 - A Kanalizační stoky gravitační - Stoka A1  - UZNATELNÉ</t>
  </si>
  <si>
    <t>2,0*(0,5+0,5)</t>
  </si>
  <si>
    <t>49</t>
  </si>
  <si>
    <t>2,0*1,1</t>
  </si>
  <si>
    <t>2,0*(1,1+0,5+0,5)</t>
  </si>
  <si>
    <t>85</t>
  </si>
  <si>
    <t>2*0,128 "dle položky frézování živičného krytu tl. 50 mm</t>
  </si>
  <si>
    <t>SO 01 - A Kanalizační stoky gravitační - Stoka A2  - UZNATELNÉ</t>
  </si>
  <si>
    <t>5,52,0*(0,5+0,5)</t>
  </si>
  <si>
    <t>70</t>
  </si>
  <si>
    <t>5,52*0,128 "dle položky frézování živičného krytu tl. 50 mm</t>
  </si>
  <si>
    <t>71</t>
  </si>
  <si>
    <t>SO 01 - A Kanalizační stoky gravitační - Stoka A4  - UZNATELNÉ</t>
  </si>
  <si>
    <t>3,95*(0,5+0,5)</t>
  </si>
  <si>
    <t>36</t>
  </si>
  <si>
    <t>63</t>
  </si>
  <si>
    <t>3,95*0,128 "dle položky frézování živičného krytu tl. 50 mm</t>
  </si>
  <si>
    <t>64</t>
  </si>
  <si>
    <t>72</t>
  </si>
  <si>
    <t>SO 01 - A Kanalizační stoky gravitační - Stoka A5  - UZNATELNÉ</t>
  </si>
  <si>
    <t>11,78*0,128 "dle položky frézování živičného krytu tl. 50 mm</t>
  </si>
  <si>
    <t>SO 01 - A Kanalizační stoky gravitační - Stoka A6 - UZNATELNÉ</t>
  </si>
  <si>
    <t>6,5*(0,5+0,5)</t>
  </si>
  <si>
    <t>44</t>
  </si>
  <si>
    <t>(6,5+1,94)*1,1</t>
  </si>
  <si>
    <t>(6,5+1,94)*(1,1+0,5+0,5)</t>
  </si>
  <si>
    <t>87</t>
  </si>
  <si>
    <t>6,5*0,128 "dle položky frézování živičného krytu tl. 50 mm</t>
  </si>
  <si>
    <t>90</t>
  </si>
  <si>
    <t>SO 01A - Kanalizační přivaděč  - UZNATELNÉ</t>
  </si>
  <si>
    <t>5*0,128 "dle položky frézování živičného krytu tl. 50 mm</t>
  </si>
  <si>
    <t>SO 01 - A Kanalizační stoky gravitační - Stoka A - NEUZNATELNÉ</t>
  </si>
  <si>
    <t>113154363</t>
  </si>
  <si>
    <t>Frézování živičného krytu tl 50 mm pruh š 2 m pl do 10000 m2 s překážkami v trase</t>
  </si>
  <si>
    <t>577144121</t>
  </si>
  <si>
    <t>Asfaltový beton vrstva obrusná ACO 11 (ABS) tř. I tl 50 mm š přes 3 m z nemodifikovaného asfaltu</t>
  </si>
  <si>
    <t>6</t>
  </si>
  <si>
    <t>10</t>
  </si>
  <si>
    <t>SO 01 - A Kanalizační stoky gravitační - Stoka A1  - NEUZNATELNÉ</t>
  </si>
  <si>
    <t>SO 01A - Kanalizační přivaděč  - NEUZNATELNÉ</t>
  </si>
  <si>
    <t>SO 03 - Kanalizační přípojky  - NEUZNATELNÉ</t>
  </si>
  <si>
    <t>165*0,128 "dle položky frézování živičného krytu tl. 50 mm</t>
  </si>
  <si>
    <t>61</t>
  </si>
  <si>
    <t>109</t>
  </si>
  <si>
    <t>115</t>
  </si>
  <si>
    <t>124</t>
  </si>
  <si>
    <t>125</t>
  </si>
  <si>
    <t>SO 04 -Přeložka vodovodního řadu  - NEUZNATELNÉ</t>
  </si>
  <si>
    <t>42</t>
  </si>
  <si>
    <t>214,40*0,128 "dle položky frézování živičného krytu tl. 50 mm</t>
  </si>
  <si>
    <t>SO 05 -Obnova vodovodu obce  - NEUZNATELNÉ</t>
  </si>
  <si>
    <t>76</t>
  </si>
  <si>
    <t>352,7*0,128 "dle položky frézování živičného krytu tl. 50 mm</t>
  </si>
  <si>
    <t>34</t>
  </si>
  <si>
    <t>58344199</t>
  </si>
  <si>
    <t>štěrkodrť frakce 0-63</t>
  </si>
  <si>
    <t>Rozdílový výkaz výměr k návrhu na změnu č. 004-01</t>
  </si>
  <si>
    <t>Sktutečné délky dle GZ (-46,84 m)</t>
  </si>
  <si>
    <t>Rozdílový výkaz výměr k návrhu na změnu č. 004-05</t>
  </si>
  <si>
    <t>Rozdílový výkaz výměr k návrhu na změnu č. 004-06</t>
  </si>
  <si>
    <t>Odkanalizování obcí v povodí Jizery část B</t>
  </si>
  <si>
    <t>Holé Vrchy, výstavba kanalizace</t>
  </si>
  <si>
    <t>Rozdílový výkaz výměr k návrhu na změnu č. 004-09</t>
  </si>
  <si>
    <t>Rozdílový výkaz výměr k návrhu na změnu č. 004-10</t>
  </si>
  <si>
    <t>Rozdílový výkaz výměr k návrhu na změnu č. 004-12</t>
  </si>
  <si>
    <t>Rozdílový výkaz výměr k návrhu na změnu č. 004-13</t>
  </si>
  <si>
    <t>Rozdílový výkaz výměr k návrhu na změnu č. 004-14</t>
  </si>
  <si>
    <t>kód položky</t>
  </si>
  <si>
    <t>uznatelné:</t>
  </si>
  <si>
    <t>neuznatelné:</t>
  </si>
  <si>
    <t>SO 01 A3 - Stoka A3 - Přetřídění zeminy A3 - úsek Š59-ŠP60-ŠP61</t>
  </si>
  <si>
    <t>SO 01 A Kanalizační stoka gravitační - Stoka A - Úprava hloubení a přetřídění zeminy</t>
  </si>
  <si>
    <t>SO 01 A Kanalizační stoka gravitační - Stoka A - Přetřídění zeminy</t>
  </si>
  <si>
    <t xml:space="preserve">SO 01 A Kanalizační stoka gravitační - Stoka A - Přetřídění zeminy úsek Š22-Š23 </t>
  </si>
  <si>
    <t>Rozdílový výkaz výměr k návrhu na změnu č. 004-07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</si>
</sst>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  <numFmt numFmtId="165" formatCode="#,##0.00\ _K_č;[Red]\-#,##0.00\ _K_č"/>
    <numFmt numFmtId="166" formatCode="#,##0.00\ _K_č"/>
    <numFmt numFmtId="167" formatCode="#,##0.00\ [$€-1]"/>
    <numFmt numFmtId="168" formatCode="#,##0.000"/>
    <numFmt numFmtId="169" formatCode="_-* #,##0.00\ _K_č_-;\-* #,##0.00\ _K_č_-;_-* &quot;-&quot;??\ _K_č_-;_-@_-"/>
    <numFmt numFmtId="170" formatCode="#,##0.00\ &quot;Kč&quot;"/>
    <numFmt numFmtId="171" formatCode="#,##0.0"/>
  </numFmts>
  <fonts count="6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12"/>
      <name val="Arial"/>
      <family val="2"/>
    </font>
    <font>
      <sz val="12"/>
      <name val="Arial"/>
      <family val="2"/>
      <charset val="238"/>
    </font>
    <font>
      <sz val="12"/>
      <color indexed="60"/>
      <name val="Arial"/>
      <family val="2"/>
      <charset val="238"/>
    </font>
    <font>
      <sz val="12"/>
      <name val="Arial CE"/>
      <family val="2"/>
      <charset val="238"/>
    </font>
    <font>
      <sz val="12"/>
      <color indexed="60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 CE"/>
      <family val="2"/>
      <charset val="238"/>
    </font>
    <font>
      <sz val="10"/>
      <color indexed="60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indexed="18"/>
      <name val="Arial CE"/>
      <family val="2"/>
      <charset val="238"/>
    </font>
    <font>
      <sz val="12"/>
      <color indexed="18"/>
      <name val="Arial CE"/>
      <family val="2"/>
      <charset val="238"/>
    </font>
    <font>
      <sz val="12"/>
      <color indexed="17"/>
      <name val="Arial CE"/>
      <family val="2"/>
      <charset val="238"/>
    </font>
    <font>
      <sz val="12"/>
      <color indexed="10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9"/>
      <name val="Arial"/>
      <family val="2"/>
      <charset val="238"/>
    </font>
    <font>
      <sz val="9"/>
      <color indexed="17"/>
      <name val="Arial"/>
      <family val="2"/>
      <charset val="238"/>
    </font>
    <font>
      <b/>
      <sz val="9"/>
      <color indexed="17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rgb="FF008000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8000"/>
      <name val="Arial CE"/>
      <family val="2"/>
      <charset val="238"/>
    </font>
    <font>
      <sz val="8"/>
      <color theme="1" tint="0.499984740745262"/>
      <name val="Arial CE"/>
      <family val="2"/>
      <charset val="238"/>
    </font>
    <font>
      <i/>
      <sz val="8"/>
      <color rgb="FF0070C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color rgb="FF008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2"/>
      <color indexed="17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9"/>
      <name val="Arial CE"/>
      <family val="2"/>
      <charset val="238"/>
    </font>
    <font>
      <i/>
      <sz val="8"/>
      <name val="Arial CE"/>
      <family val="2"/>
      <charset val="238"/>
    </font>
    <font>
      <sz val="8"/>
      <color rgb="FF0070C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1"/>
      <name val="Arial"/>
      <family val="2"/>
      <charset val="238"/>
    </font>
    <font>
      <sz val="8"/>
      <name val="Arial CE"/>
      <family val="2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color theme="9" tint="-0.249977111117893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sz val="10"/>
      <color theme="9" tint="-0.249977111117893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58" fillId="0" borderId="0"/>
    <xf numFmtId="44" fontId="1" fillId="0" borderId="0" applyFont="0" applyFill="0" applyBorder="0" applyAlignment="0" applyProtection="0"/>
  </cellStyleXfs>
  <cellXfs count="275">
    <xf numFmtId="0" fontId="0" fillId="0" borderId="0" xfId="0"/>
    <xf numFmtId="0" fontId="4" fillId="0" borderId="0" xfId="0" applyFont="1" applyAlignment="1">
      <alignment horizontal="center" vertical="center"/>
    </xf>
    <xf numFmtId="164" fontId="6" fillId="0" borderId="0" xfId="1" applyNumberFormat="1" applyFont="1" applyAlignment="1">
      <alignment horizontal="right"/>
    </xf>
    <xf numFmtId="42" fontId="8" fillId="0" borderId="0" xfId="2" applyNumberFormat="1" applyFont="1" applyAlignment="1">
      <alignment horizontal="left"/>
    </xf>
    <xf numFmtId="0" fontId="9" fillId="0" borderId="0" xfId="3" applyFont="1"/>
    <xf numFmtId="44" fontId="10" fillId="0" borderId="0" xfId="3" applyNumberFormat="1" applyFont="1"/>
    <xf numFmtId="42" fontId="7" fillId="0" borderId="0" xfId="2" applyNumberFormat="1"/>
    <xf numFmtId="0" fontId="6" fillId="0" borderId="0" xfId="2" applyFont="1" applyAlignment="1">
      <alignment horizontal="right"/>
    </xf>
    <xf numFmtId="42" fontId="6" fillId="0" borderId="0" xfId="0" applyNumberFormat="1" applyFont="1" applyAlignment="1">
      <alignment horizontal="left" vertical="center"/>
    </xf>
    <xf numFmtId="42" fontId="6" fillId="0" borderId="0" xfId="0" applyNumberFormat="1" applyFont="1"/>
    <xf numFmtId="0" fontId="11" fillId="0" borderId="0" xfId="2" applyFont="1"/>
    <xf numFmtId="44" fontId="12" fillId="0" borderId="0" xfId="2" applyNumberFormat="1" applyFont="1"/>
    <xf numFmtId="42" fontId="6" fillId="0" borderId="0" xfId="0" applyNumberFormat="1" applyFont="1" applyAlignment="1">
      <alignment horizontal="left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vertical="center"/>
    </xf>
    <xf numFmtId="165" fontId="14" fillId="0" borderId="1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" fontId="15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14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166" fontId="16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0" fontId="18" fillId="0" borderId="0" xfId="0" applyFont="1" applyAlignment="1">
      <alignment horizontal="right"/>
    </xf>
    <xf numFmtId="166" fontId="18" fillId="0" borderId="0" xfId="0" applyNumberFormat="1" applyFont="1"/>
    <xf numFmtId="166" fontId="19" fillId="0" borderId="0" xfId="0" applyNumberFormat="1" applyFont="1"/>
    <xf numFmtId="166" fontId="20" fillId="0" borderId="0" xfId="0" applyNumberFormat="1" applyFont="1"/>
    <xf numFmtId="0" fontId="18" fillId="0" borderId="0" xfId="3" applyFont="1" applyAlignment="1">
      <alignment horizontal="right" vertical="center"/>
    </xf>
    <xf numFmtId="0" fontId="18" fillId="0" borderId="0" xfId="3" applyFont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21" fillId="0" borderId="0" xfId="3" applyFont="1" applyAlignment="1">
      <alignment horizontal="right" vertical="center"/>
    </xf>
    <xf numFmtId="167" fontId="18" fillId="0" borderId="0" xfId="3" applyNumberFormat="1" applyFont="1" applyAlignment="1">
      <alignment horizontal="right" vertical="center"/>
    </xf>
    <xf numFmtId="0" fontId="6" fillId="0" borderId="0" xfId="3"/>
    <xf numFmtId="4" fontId="6" fillId="0" borderId="0" xfId="3" applyNumberFormat="1"/>
    <xf numFmtId="0" fontId="22" fillId="0" borderId="0" xfId="3" applyFont="1"/>
    <xf numFmtId="0" fontId="6" fillId="2" borderId="0" xfId="3" applyFill="1"/>
    <xf numFmtId="0" fontId="23" fillId="0" borderId="0" xfId="3" applyFont="1"/>
    <xf numFmtId="0" fontId="11" fillId="0" borderId="0" xfId="4" applyFont="1"/>
    <xf numFmtId="42" fontId="8" fillId="0" borderId="0" xfId="4" applyNumberFormat="1" applyFont="1" applyAlignment="1">
      <alignment horizontal="left"/>
    </xf>
    <xf numFmtId="4" fontId="9" fillId="0" borderId="0" xfId="3" applyNumberFormat="1" applyFont="1"/>
    <xf numFmtId="42" fontId="7" fillId="0" borderId="0" xfId="4" applyNumberFormat="1"/>
    <xf numFmtId="0" fontId="24" fillId="0" borderId="0" xfId="3" applyFont="1"/>
    <xf numFmtId="44" fontId="24" fillId="0" borderId="0" xfId="3" applyNumberFormat="1" applyFont="1"/>
    <xf numFmtId="44" fontId="24" fillId="2" borderId="0" xfId="3" applyNumberFormat="1" applyFont="1" applyFill="1"/>
    <xf numFmtId="0" fontId="24" fillId="2" borderId="0" xfId="3" applyFont="1" applyFill="1"/>
    <xf numFmtId="44" fontId="25" fillId="0" borderId="0" xfId="3" applyNumberFormat="1" applyFont="1"/>
    <xf numFmtId="0" fontId="26" fillId="0" borderId="0" xfId="3" applyFont="1"/>
    <xf numFmtId="167" fontId="26" fillId="0" borderId="0" xfId="3" applyNumberFormat="1" applyFont="1"/>
    <xf numFmtId="0" fontId="27" fillId="0" borderId="0" xfId="3" applyFont="1"/>
    <xf numFmtId="0" fontId="6" fillId="0" borderId="0" xfId="4" applyFont="1" applyAlignment="1">
      <alignment horizontal="right"/>
    </xf>
    <xf numFmtId="42" fontId="6" fillId="0" borderId="0" xfId="3" applyNumberFormat="1"/>
    <xf numFmtId="4" fontId="11" fillId="0" borderId="0" xfId="4" applyNumberFormat="1" applyFont="1"/>
    <xf numFmtId="0" fontId="28" fillId="0" borderId="0" xfId="4" applyFont="1"/>
    <xf numFmtId="44" fontId="28" fillId="0" borderId="0" xfId="4" applyNumberFormat="1" applyFont="1"/>
    <xf numFmtId="44" fontId="28" fillId="2" borderId="0" xfId="4" applyNumberFormat="1" applyFont="1" applyFill="1"/>
    <xf numFmtId="0" fontId="28" fillId="2" borderId="0" xfId="4" applyFont="1" applyFill="1"/>
    <xf numFmtId="44" fontId="29" fillId="0" borderId="0" xfId="4" applyNumberFormat="1" applyFont="1"/>
    <xf numFmtId="0" fontId="30" fillId="0" borderId="0" xfId="4" applyFont="1"/>
    <xf numFmtId="167" fontId="30" fillId="0" borderId="0" xfId="4" applyNumberFormat="1" applyFont="1"/>
    <xf numFmtId="0" fontId="31" fillId="0" borderId="0" xfId="4" applyFont="1"/>
    <xf numFmtId="42" fontId="6" fillId="0" borderId="0" xfId="3" applyNumberFormat="1" applyAlignment="1">
      <alignment horizontal="left"/>
    </xf>
    <xf numFmtId="0" fontId="0" fillId="0" borderId="1" xfId="0" applyBorder="1" applyAlignment="1">
      <alignment horizontal="center" vertical="center"/>
    </xf>
    <xf numFmtId="165" fontId="13" fillId="0" borderId="1" xfId="0" applyNumberFormat="1" applyFont="1" applyBorder="1" applyAlignment="1">
      <alignment vertical="center"/>
    </xf>
    <xf numFmtId="168" fontId="23" fillId="0" borderId="0" xfId="3" applyNumberFormat="1" applyFont="1" applyAlignment="1">
      <alignment horizontal="right" vertical="center"/>
    </xf>
    <xf numFmtId="0" fontId="34" fillId="0" borderId="0" xfId="3" applyFont="1" applyAlignment="1">
      <alignment vertical="center"/>
    </xf>
    <xf numFmtId="0" fontId="35" fillId="0" borderId="0" xfId="3" applyFont="1" applyAlignment="1">
      <alignment vertical="center"/>
    </xf>
    <xf numFmtId="0" fontId="35" fillId="0" borderId="0" xfId="3" applyFont="1" applyAlignment="1">
      <alignment horizontal="center" vertical="center"/>
    </xf>
    <xf numFmtId="0" fontId="36" fillId="0" borderId="0" xfId="3" applyFont="1" applyAlignment="1">
      <alignment vertical="center"/>
    </xf>
    <xf numFmtId="0" fontId="37" fillId="0" borderId="0" xfId="3" applyFont="1" applyAlignment="1">
      <alignment vertical="center"/>
    </xf>
    <xf numFmtId="0" fontId="38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49" fontId="18" fillId="0" borderId="0" xfId="3" applyNumberFormat="1" applyFont="1" applyAlignment="1">
      <alignment horizontal="center" vertical="center"/>
    </xf>
    <xf numFmtId="49" fontId="18" fillId="0" borderId="0" xfId="3" applyNumberFormat="1" applyFont="1" applyAlignment="1">
      <alignment horizontal="left" vertical="center"/>
    </xf>
    <xf numFmtId="49" fontId="34" fillId="0" borderId="0" xfId="6" applyNumberFormat="1" applyFont="1" applyAlignment="1">
      <alignment horizontal="center" vertical="center" wrapText="1"/>
    </xf>
    <xf numFmtId="49" fontId="34" fillId="0" borderId="0" xfId="6" applyNumberFormat="1" applyFont="1" applyAlignment="1">
      <alignment horizontal="center" vertical="center"/>
    </xf>
    <xf numFmtId="168" fontId="34" fillId="0" borderId="0" xfId="6" applyNumberFormat="1" applyFont="1" applyAlignment="1">
      <alignment horizontal="center" vertical="center"/>
    </xf>
    <xf numFmtId="9" fontId="34" fillId="0" borderId="0" xfId="6" applyNumberFormat="1" applyFont="1" applyAlignment="1">
      <alignment horizontal="center" vertical="center"/>
    </xf>
    <xf numFmtId="49" fontId="34" fillId="0" borderId="0" xfId="3" applyNumberFormat="1" applyFont="1" applyAlignment="1">
      <alignment horizontal="center" vertical="center" wrapText="1"/>
    </xf>
    <xf numFmtId="168" fontId="39" fillId="0" borderId="0" xfId="3" applyNumberFormat="1" applyFont="1" applyAlignment="1">
      <alignment horizontal="center" vertical="center" wrapText="1"/>
    </xf>
    <xf numFmtId="169" fontId="39" fillId="0" borderId="0" xfId="3" applyNumberFormat="1" applyFont="1" applyAlignment="1">
      <alignment horizontal="center" vertical="center" wrapText="1"/>
    </xf>
    <xf numFmtId="49" fontId="39" fillId="0" borderId="0" xfId="3" applyNumberFormat="1" applyFont="1" applyAlignment="1">
      <alignment horizontal="center" vertical="center" wrapText="1"/>
    </xf>
    <xf numFmtId="168" fontId="38" fillId="0" borderId="0" xfId="3" applyNumberFormat="1" applyFont="1" applyAlignment="1">
      <alignment horizontal="center" vertical="center" wrapText="1"/>
    </xf>
    <xf numFmtId="169" fontId="38" fillId="0" borderId="0" xfId="3" applyNumberFormat="1" applyFont="1" applyAlignment="1">
      <alignment horizontal="center" vertical="center" wrapText="1"/>
    </xf>
    <xf numFmtId="49" fontId="38" fillId="0" borderId="0" xfId="3" applyNumberFormat="1" applyFont="1" applyAlignment="1">
      <alignment horizontal="center" vertical="center" wrapText="1"/>
    </xf>
    <xf numFmtId="49" fontId="34" fillId="3" borderId="0" xfId="6" applyNumberFormat="1" applyFont="1" applyFill="1" applyAlignment="1">
      <alignment horizontal="center" vertical="center"/>
    </xf>
    <xf numFmtId="49" fontId="34" fillId="3" borderId="0" xfId="6" applyNumberFormat="1" applyFont="1" applyFill="1" applyAlignment="1">
      <alignment horizontal="left" vertical="center"/>
    </xf>
    <xf numFmtId="0" fontId="40" fillId="3" borderId="0" xfId="3" applyFont="1" applyFill="1" applyAlignment="1">
      <alignment vertical="center" wrapText="1"/>
    </xf>
    <xf numFmtId="9" fontId="34" fillId="3" borderId="0" xfId="6" applyNumberFormat="1" applyFont="1" applyFill="1" applyAlignment="1">
      <alignment horizontal="center" vertical="center"/>
    </xf>
    <xf numFmtId="44" fontId="34" fillId="3" borderId="0" xfId="6" applyNumberFormat="1" applyFont="1" applyFill="1" applyAlignment="1">
      <alignment horizontal="center" vertical="center"/>
    </xf>
    <xf numFmtId="44" fontId="39" fillId="3" borderId="0" xfId="6" applyNumberFormat="1" applyFont="1" applyFill="1" applyAlignment="1">
      <alignment horizontal="center" vertical="center"/>
    </xf>
    <xf numFmtId="0" fontId="6" fillId="0" borderId="0" xfId="5" applyAlignment="1" applyProtection="1">
      <alignment horizontal="center" vertical="center"/>
      <protection locked="0"/>
    </xf>
    <xf numFmtId="49" fontId="6" fillId="0" borderId="0" xfId="5" applyNumberFormat="1" applyAlignment="1" applyProtection="1">
      <alignment horizontal="left" vertical="center" wrapText="1"/>
      <protection locked="0"/>
    </xf>
    <xf numFmtId="0" fontId="6" fillId="0" borderId="0" xfId="5" applyAlignment="1" applyProtection="1">
      <alignment horizontal="left" vertical="center" wrapText="1"/>
      <protection locked="0"/>
    </xf>
    <xf numFmtId="0" fontId="6" fillId="0" borderId="0" xfId="5" applyAlignment="1" applyProtection="1">
      <alignment horizontal="center" vertical="center" wrapText="1"/>
      <protection locked="0"/>
    </xf>
    <xf numFmtId="4" fontId="1" fillId="0" borderId="0" xfId="7" applyNumberFormat="1" applyAlignment="1">
      <alignment horizontal="right" vertical="center"/>
    </xf>
    <xf numFmtId="44" fontId="23" fillId="0" borderId="0" xfId="3" applyNumberFormat="1" applyFont="1" applyAlignment="1">
      <alignment vertical="center"/>
    </xf>
    <xf numFmtId="168" fontId="41" fillId="0" borderId="0" xfId="5" applyNumberFormat="1" applyFont="1" applyAlignment="1">
      <alignment vertical="center"/>
    </xf>
    <xf numFmtId="4" fontId="41" fillId="0" borderId="0" xfId="5" applyNumberFormat="1" applyFont="1" applyAlignment="1" applyProtection="1">
      <alignment vertical="center"/>
      <protection locked="0"/>
    </xf>
    <xf numFmtId="170" fontId="39" fillId="0" borderId="0" xfId="3" applyNumberFormat="1" applyFont="1" applyAlignment="1">
      <alignment vertical="center"/>
    </xf>
    <xf numFmtId="4" fontId="37" fillId="0" borderId="0" xfId="3" applyNumberFormat="1" applyFont="1" applyAlignment="1">
      <alignment vertical="center"/>
    </xf>
    <xf numFmtId="169" fontId="37" fillId="0" borderId="0" xfId="3" applyNumberFormat="1" applyFont="1" applyAlignment="1">
      <alignment vertical="center"/>
    </xf>
    <xf numFmtId="170" fontId="37" fillId="0" borderId="0" xfId="3" applyNumberFormat="1" applyFont="1" applyAlignment="1">
      <alignment vertical="center"/>
    </xf>
    <xf numFmtId="0" fontId="1" fillId="0" borderId="0" xfId="7" applyAlignment="1">
      <alignment vertical="center"/>
    </xf>
    <xf numFmtId="0" fontId="42" fillId="0" borderId="0" xfId="5" applyFont="1" applyAlignment="1">
      <alignment horizontal="left" vertical="center" wrapText="1"/>
    </xf>
    <xf numFmtId="0" fontId="43" fillId="0" borderId="0" xfId="5" applyFont="1" applyAlignment="1">
      <alignment horizontal="left" vertical="center" wrapText="1"/>
    </xf>
    <xf numFmtId="0" fontId="1" fillId="0" borderId="0" xfId="7" applyAlignment="1">
      <alignment horizontal="right" vertical="center"/>
    </xf>
    <xf numFmtId="0" fontId="44" fillId="0" borderId="0" xfId="5" applyFont="1" applyAlignment="1">
      <alignment vertical="center"/>
    </xf>
    <xf numFmtId="0" fontId="44" fillId="0" borderId="0" xfId="5" applyFont="1" applyAlignment="1">
      <alignment horizontal="left" vertical="center" wrapText="1"/>
    </xf>
    <xf numFmtId="168" fontId="45" fillId="0" borderId="0" xfId="5" applyNumberFormat="1" applyFont="1" applyAlignment="1">
      <alignment vertical="center"/>
    </xf>
    <xf numFmtId="0" fontId="46" fillId="0" borderId="0" xfId="3" applyFont="1" applyAlignment="1">
      <alignment vertical="center"/>
    </xf>
    <xf numFmtId="4" fontId="46" fillId="0" borderId="0" xfId="3" applyNumberFormat="1" applyFont="1" applyAlignment="1">
      <alignment vertical="center"/>
    </xf>
    <xf numFmtId="44" fontId="34" fillId="0" borderId="0" xfId="3" applyNumberFormat="1" applyFont="1" applyAlignment="1">
      <alignment vertical="center"/>
    </xf>
    <xf numFmtId="4" fontId="47" fillId="0" borderId="0" xfId="3" applyNumberFormat="1" applyFont="1" applyAlignment="1">
      <alignment horizontal="right" vertical="center"/>
    </xf>
    <xf numFmtId="169" fontId="47" fillId="0" borderId="0" xfId="3" applyNumberFormat="1" applyFont="1" applyAlignment="1">
      <alignment horizontal="right" vertical="center"/>
    </xf>
    <xf numFmtId="169" fontId="46" fillId="0" borderId="0" xfId="3" applyNumberFormat="1" applyFont="1" applyAlignment="1">
      <alignment vertical="center"/>
    </xf>
    <xf numFmtId="170" fontId="48" fillId="0" borderId="0" xfId="3" applyNumberFormat="1" applyFont="1" applyAlignment="1">
      <alignment vertical="center"/>
    </xf>
    <xf numFmtId="0" fontId="9" fillId="0" borderId="0" xfId="3" applyFont="1" applyAlignment="1">
      <alignment vertical="center"/>
    </xf>
    <xf numFmtId="0" fontId="9" fillId="0" borderId="0" xfId="3" applyFont="1" applyAlignment="1">
      <alignment horizontal="left" vertical="center"/>
    </xf>
    <xf numFmtId="0" fontId="18" fillId="0" borderId="0" xfId="3" applyFont="1" applyAlignment="1">
      <alignment vertical="center"/>
    </xf>
    <xf numFmtId="168" fontId="9" fillId="0" borderId="0" xfId="3" applyNumberFormat="1" applyFont="1" applyAlignment="1">
      <alignment horizontal="right" vertical="center"/>
    </xf>
    <xf numFmtId="167" fontId="18" fillId="0" borderId="0" xfId="3" applyNumberFormat="1" applyFont="1" applyAlignment="1">
      <alignment vertical="center"/>
    </xf>
    <xf numFmtId="170" fontId="18" fillId="0" borderId="0" xfId="3" applyNumberFormat="1" applyFont="1" applyAlignment="1" applyProtection="1">
      <alignment horizontal="right" vertical="center"/>
      <protection hidden="1"/>
    </xf>
    <xf numFmtId="170" fontId="49" fillId="0" borderId="0" xfId="3" applyNumberFormat="1" applyFont="1" applyAlignment="1">
      <alignment horizontal="right" vertical="center"/>
    </xf>
    <xf numFmtId="170" fontId="26" fillId="0" borderId="0" xfId="3" applyNumberFormat="1" applyFont="1" applyAlignment="1">
      <alignment horizontal="right" vertical="center"/>
    </xf>
    <xf numFmtId="170" fontId="49" fillId="0" borderId="0" xfId="3" applyNumberFormat="1" applyFont="1" applyAlignment="1" applyProtection="1">
      <alignment horizontal="right" vertical="center"/>
      <protection hidden="1"/>
    </xf>
    <xf numFmtId="170" fontId="27" fillId="0" borderId="0" xfId="3" applyNumberFormat="1" applyFont="1" applyAlignment="1">
      <alignment horizontal="right" vertical="center"/>
    </xf>
    <xf numFmtId="170" fontId="50" fillId="0" borderId="0" xfId="3" applyNumberFormat="1" applyFont="1" applyAlignment="1" applyProtection="1">
      <alignment horizontal="right" vertical="center"/>
      <protection hidden="1"/>
    </xf>
    <xf numFmtId="0" fontId="9" fillId="0" borderId="7" xfId="3" applyFont="1" applyBorder="1" applyAlignment="1">
      <alignment vertical="center"/>
    </xf>
    <xf numFmtId="0" fontId="9" fillId="0" borderId="8" xfId="3" applyFont="1" applyBorder="1" applyAlignment="1">
      <alignment vertical="center"/>
    </xf>
    <xf numFmtId="0" fontId="9" fillId="0" borderId="8" xfId="3" applyFont="1" applyBorder="1" applyAlignment="1">
      <alignment horizontal="left" vertical="center"/>
    </xf>
    <xf numFmtId="0" fontId="18" fillId="0" borderId="8" xfId="3" applyFont="1" applyBorder="1" applyAlignment="1">
      <alignment vertical="center"/>
    </xf>
    <xf numFmtId="168" fontId="9" fillId="0" borderId="8" xfId="3" applyNumberFormat="1" applyFont="1" applyBorder="1" applyAlignment="1">
      <alignment horizontal="right" vertical="center"/>
    </xf>
    <xf numFmtId="167" fontId="18" fillId="0" borderId="8" xfId="3" applyNumberFormat="1" applyFont="1" applyBorder="1" applyAlignment="1">
      <alignment vertical="center"/>
    </xf>
    <xf numFmtId="170" fontId="18" fillId="0" borderId="8" xfId="3" applyNumberFormat="1" applyFont="1" applyBorder="1" applyAlignment="1" applyProtection="1">
      <alignment horizontal="right" vertical="center"/>
      <protection hidden="1"/>
    </xf>
    <xf numFmtId="170" fontId="49" fillId="0" borderId="8" xfId="3" applyNumberFormat="1" applyFont="1" applyBorder="1" applyAlignment="1">
      <alignment horizontal="right" vertical="center"/>
    </xf>
    <xf numFmtId="170" fontId="49" fillId="0" borderId="8" xfId="3" applyNumberFormat="1" applyFont="1" applyBorder="1" applyAlignment="1" applyProtection="1">
      <alignment horizontal="right" vertical="center"/>
      <protection hidden="1"/>
    </xf>
    <xf numFmtId="170" fontId="50" fillId="0" borderId="9" xfId="3" applyNumberFormat="1" applyFont="1" applyBorder="1" applyAlignment="1" applyProtection="1">
      <alignment horizontal="right" vertical="center"/>
      <protection hidden="1"/>
    </xf>
    <xf numFmtId="0" fontId="11" fillId="0" borderId="0" xfId="3" applyFont="1" applyAlignment="1">
      <alignment horizontal="left" vertical="center"/>
    </xf>
    <xf numFmtId="0" fontId="21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168" fontId="11" fillId="0" borderId="0" xfId="3" applyNumberFormat="1" applyFont="1" applyAlignment="1">
      <alignment horizontal="right" vertical="center"/>
    </xf>
    <xf numFmtId="0" fontId="51" fillId="0" borderId="0" xfId="3" applyFont="1" applyAlignment="1">
      <alignment vertical="center"/>
    </xf>
    <xf numFmtId="167" fontId="49" fillId="0" borderId="0" xfId="3" applyNumberFormat="1" applyFont="1" applyAlignment="1">
      <alignment vertical="center"/>
    </xf>
    <xf numFmtId="0" fontId="30" fillId="0" borderId="0" xfId="3" applyFont="1" applyAlignment="1">
      <alignment horizontal="center" vertical="center"/>
    </xf>
    <xf numFmtId="0" fontId="49" fillId="0" borderId="0" xfId="3" applyFont="1" applyAlignment="1">
      <alignment vertical="center"/>
    </xf>
    <xf numFmtId="0" fontId="27" fillId="0" borderId="0" xfId="3" applyFont="1" applyAlignment="1">
      <alignment vertical="center"/>
    </xf>
    <xf numFmtId="0" fontId="50" fillId="0" borderId="0" xfId="3" applyFont="1" applyAlignment="1">
      <alignment vertical="center"/>
    </xf>
    <xf numFmtId="168" fontId="21" fillId="0" borderId="0" xfId="3" applyNumberFormat="1" applyFont="1" applyAlignment="1">
      <alignment horizontal="right" vertical="center"/>
    </xf>
    <xf numFmtId="0" fontId="51" fillId="0" borderId="0" xfId="3" applyFont="1" applyAlignment="1">
      <alignment horizontal="center" vertical="center"/>
    </xf>
    <xf numFmtId="170" fontId="38" fillId="0" borderId="0" xfId="3" applyNumberFormat="1" applyFont="1" applyAlignment="1">
      <alignment vertical="center"/>
    </xf>
    <xf numFmtId="168" fontId="23" fillId="0" borderId="0" xfId="3" applyNumberFormat="1" applyFont="1" applyAlignment="1">
      <alignment horizontal="right"/>
    </xf>
    <xf numFmtId="0" fontId="36" fillId="0" borderId="0" xfId="3" applyFont="1"/>
    <xf numFmtId="0" fontId="37" fillId="0" borderId="0" xfId="3" applyFont="1"/>
    <xf numFmtId="0" fontId="38" fillId="0" borderId="0" xfId="3" applyFont="1"/>
    <xf numFmtId="4" fontId="47" fillId="0" borderId="0" xfId="3" applyNumberFormat="1" applyFont="1" applyAlignment="1">
      <alignment horizontal="right"/>
    </xf>
    <xf numFmtId="169" fontId="47" fillId="0" borderId="0" xfId="3" applyNumberFormat="1" applyFont="1" applyAlignment="1">
      <alignment horizontal="right"/>
    </xf>
    <xf numFmtId="4" fontId="46" fillId="0" borderId="0" xfId="3" applyNumberFormat="1" applyFont="1"/>
    <xf numFmtId="169" fontId="46" fillId="0" borderId="0" xfId="3" applyNumberFormat="1" applyFont="1"/>
    <xf numFmtId="168" fontId="52" fillId="0" borderId="0" xfId="3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8" fontId="6" fillId="0" borderId="0" xfId="10" applyNumberFormat="1" applyFont="1" applyAlignment="1" applyProtection="1">
      <alignment vertical="center"/>
      <protection locked="0"/>
    </xf>
    <xf numFmtId="4" fontId="59" fillId="0" borderId="0" xfId="7" applyNumberFormat="1" applyFont="1" applyAlignment="1">
      <alignment horizontal="right" vertical="center"/>
    </xf>
    <xf numFmtId="168" fontId="41" fillId="0" borderId="0" xfId="0" applyNumberFormat="1" applyFont="1" applyAlignment="1">
      <alignment vertical="center"/>
    </xf>
    <xf numFmtId="4" fontId="41" fillId="0" borderId="0" xfId="0" applyNumberFormat="1" applyFont="1" applyAlignment="1" applyProtection="1">
      <alignment vertical="center"/>
      <protection locked="0"/>
    </xf>
    <xf numFmtId="0" fontId="44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171" fontId="0" fillId="0" borderId="0" xfId="0" applyNumberFormat="1" applyAlignment="1" applyProtection="1">
      <alignment horizontal="center" vertical="center"/>
      <protection locked="0"/>
    </xf>
    <xf numFmtId="0" fontId="4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71" fontId="0" fillId="0" borderId="0" xfId="0" applyNumberFormat="1" applyAlignment="1">
      <alignment horizontal="center" vertical="center"/>
    </xf>
    <xf numFmtId="168" fontId="34" fillId="0" borderId="0" xfId="3" applyNumberFormat="1" applyFont="1" applyAlignment="1">
      <alignment horizontal="center" vertical="center"/>
    </xf>
    <xf numFmtId="168" fontId="39" fillId="0" borderId="0" xfId="3" applyNumberFormat="1" applyFont="1" applyAlignment="1">
      <alignment horizontal="center" vertical="center"/>
    </xf>
    <xf numFmtId="168" fontId="38" fillId="0" borderId="0" xfId="3" applyNumberFormat="1" applyFont="1" applyAlignment="1">
      <alignment horizontal="center" vertical="center"/>
    </xf>
    <xf numFmtId="0" fontId="0" fillId="5" borderId="0" xfId="0" applyFill="1" applyAlignment="1" applyProtection="1">
      <alignment horizontal="center" vertical="center"/>
      <protection locked="0"/>
    </xf>
    <xf numFmtId="49" fontId="60" fillId="0" borderId="0" xfId="3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4" fontId="61" fillId="0" borderId="0" xfId="7" applyNumberFormat="1" applyFont="1" applyBorder="1"/>
    <xf numFmtId="0" fontId="0" fillId="0" borderId="0" xfId="0" applyBorder="1" applyAlignment="1">
      <alignment vertical="center" wrapText="1"/>
    </xf>
    <xf numFmtId="4" fontId="2" fillId="0" borderId="0" xfId="7" applyNumberFormat="1" applyFont="1" applyBorder="1"/>
    <xf numFmtId="0" fontId="34" fillId="0" borderId="0" xfId="7" applyFont="1" applyFill="1" applyAlignment="1">
      <alignment vertical="center"/>
    </xf>
    <xf numFmtId="0" fontId="62" fillId="0" borderId="0" xfId="0" applyFont="1"/>
    <xf numFmtId="0" fontId="2" fillId="0" borderId="0" xfId="0" applyFont="1"/>
    <xf numFmtId="0" fontId="1" fillId="0" borderId="0" xfId="7" applyBorder="1" applyAlignment="1">
      <alignment horizontal="center" vertical="center"/>
    </xf>
    <xf numFmtId="0" fontId="3" fillId="0" borderId="0" xfId="7" applyFont="1" applyBorder="1" applyAlignment="1">
      <alignment horizontal="left" vertical="center"/>
    </xf>
    <xf numFmtId="0" fontId="57" fillId="4" borderId="0" xfId="0" applyFont="1" applyFill="1" applyBorder="1" applyAlignment="1">
      <alignment horizontal="left" vertical="center"/>
    </xf>
    <xf numFmtId="0" fontId="1" fillId="3" borderId="0" xfId="7" applyFill="1" applyBorder="1" applyAlignment="1">
      <alignment horizontal="center" vertical="center"/>
    </xf>
    <xf numFmtId="0" fontId="56" fillId="0" borderId="0" xfId="0" applyFont="1" applyBorder="1" applyAlignment="1">
      <alignment horizontal="center" vertical="center"/>
    </xf>
    <xf numFmtId="0" fontId="56" fillId="0" borderId="0" xfId="0" applyFont="1" applyBorder="1" applyAlignment="1">
      <alignment horizontal="right" vertical="center"/>
    </xf>
    <xf numFmtId="0" fontId="56" fillId="0" borderId="0" xfId="0" applyFont="1" applyBorder="1" applyAlignment="1">
      <alignment vertical="center" wrapText="1"/>
    </xf>
    <xf numFmtId="0" fontId="56" fillId="0" borderId="0" xfId="9" applyFont="1" applyBorder="1" applyAlignment="1">
      <alignment horizontal="right" vertical="center"/>
    </xf>
    <xf numFmtId="0" fontId="56" fillId="0" borderId="0" xfId="9" applyFont="1" applyBorder="1" applyAlignment="1">
      <alignment vertical="center" wrapText="1"/>
    </xf>
    <xf numFmtId="49" fontId="55" fillId="0" borderId="0" xfId="7" applyNumberFormat="1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4" fontId="62" fillId="0" borderId="0" xfId="7" applyNumberFormat="1" applyFont="1" applyBorder="1"/>
    <xf numFmtId="0" fontId="62" fillId="0" borderId="0" xfId="0" applyFont="1" applyBorder="1"/>
    <xf numFmtId="0" fontId="7" fillId="4" borderId="0" xfId="0" applyFont="1" applyFill="1" applyBorder="1" applyAlignment="1">
      <alignment vertical="center"/>
    </xf>
    <xf numFmtId="0" fontId="7" fillId="4" borderId="0" xfId="0" applyFont="1" applyFill="1" applyBorder="1" applyAlignment="1">
      <alignment horizontal="center" vertical="center"/>
    </xf>
    <xf numFmtId="0" fontId="55" fillId="4" borderId="0" xfId="0" applyFont="1" applyFill="1" applyBorder="1" applyAlignment="1">
      <alignment horizontal="right" vertical="center"/>
    </xf>
    <xf numFmtId="0" fontId="55" fillId="4" borderId="0" xfId="0" applyFont="1" applyFill="1" applyBorder="1" applyAlignment="1">
      <alignment vertical="center" wrapText="1"/>
    </xf>
    <xf numFmtId="0" fontId="0" fillId="3" borderId="0" xfId="0" applyFill="1" applyBorder="1" applyAlignment="1">
      <alignment vertical="center"/>
    </xf>
    <xf numFmtId="4" fontId="1" fillId="3" borderId="0" xfId="7" applyNumberFormat="1" applyFill="1" applyBorder="1"/>
    <xf numFmtId="0" fontId="7" fillId="0" borderId="0" xfId="0" applyFont="1" applyBorder="1" applyAlignment="1">
      <alignment horizontal="right" vertical="center"/>
    </xf>
    <xf numFmtId="0" fontId="0" fillId="3" borderId="0" xfId="0" applyFill="1" applyBorder="1"/>
    <xf numFmtId="4" fontId="62" fillId="3" borderId="0" xfId="7" applyNumberFormat="1" applyFont="1" applyFill="1" applyBorder="1"/>
    <xf numFmtId="0" fontId="7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0" fontId="55" fillId="3" borderId="0" xfId="0" applyFont="1" applyFill="1" applyBorder="1" applyAlignment="1">
      <alignment horizontal="right" vertical="center"/>
    </xf>
    <xf numFmtId="0" fontId="55" fillId="3" borderId="0" xfId="0" applyFont="1" applyFill="1" applyBorder="1" applyAlignment="1">
      <alignment vertical="center" wrapText="1"/>
    </xf>
    <xf numFmtId="44" fontId="63" fillId="0" borderId="0" xfId="11" applyFont="1" applyBorder="1"/>
    <xf numFmtId="44" fontId="3" fillId="0" borderId="0" xfId="11" applyFont="1" applyBorder="1"/>
    <xf numFmtId="44" fontId="63" fillId="3" borderId="0" xfId="11" applyFont="1" applyFill="1" applyBorder="1"/>
    <xf numFmtId="44" fontId="64" fillId="0" borderId="0" xfId="11" applyFont="1" applyBorder="1"/>
    <xf numFmtId="44" fontId="2" fillId="0" borderId="0" xfId="11" applyFont="1" applyBorder="1"/>
    <xf numFmtId="44" fontId="63" fillId="0" borderId="0" xfId="11" applyFont="1"/>
    <xf numFmtId="44" fontId="2" fillId="0" borderId="0" xfId="11" applyFont="1"/>
    <xf numFmtId="49" fontId="34" fillId="3" borderId="0" xfId="6" applyNumberFormat="1" applyFont="1" applyFill="1" applyAlignment="1">
      <alignment horizontal="center" vertical="center" wrapText="1"/>
    </xf>
    <xf numFmtId="168" fontId="34" fillId="3" borderId="0" xfId="6" applyNumberFormat="1" applyFont="1" applyFill="1" applyAlignment="1">
      <alignment horizontal="center" vertical="center"/>
    </xf>
    <xf numFmtId="49" fontId="34" fillId="3" borderId="0" xfId="3" applyNumberFormat="1" applyFont="1" applyFill="1" applyAlignment="1">
      <alignment horizontal="center" vertical="center" wrapText="1"/>
    </xf>
    <xf numFmtId="168" fontId="39" fillId="3" borderId="0" xfId="3" applyNumberFormat="1" applyFont="1" applyFill="1" applyAlignment="1">
      <alignment horizontal="center" vertical="center" wrapText="1"/>
    </xf>
    <xf numFmtId="169" fontId="39" fillId="3" borderId="0" xfId="3" applyNumberFormat="1" applyFont="1" applyFill="1" applyAlignment="1">
      <alignment horizontal="center" vertical="center" wrapText="1"/>
    </xf>
    <xf numFmtId="49" fontId="39" fillId="3" borderId="0" xfId="3" applyNumberFormat="1" applyFont="1" applyFill="1" applyAlignment="1">
      <alignment horizontal="center" vertical="center" wrapText="1"/>
    </xf>
    <xf numFmtId="168" fontId="38" fillId="3" borderId="0" xfId="3" applyNumberFormat="1" applyFont="1" applyFill="1" applyAlignment="1">
      <alignment horizontal="center" vertical="center" wrapText="1"/>
    </xf>
    <xf numFmtId="169" fontId="38" fillId="3" borderId="0" xfId="3" applyNumberFormat="1" applyFont="1" applyFill="1" applyAlignment="1">
      <alignment horizontal="center" vertical="center" wrapText="1"/>
    </xf>
    <xf numFmtId="49" fontId="38" fillId="3" borderId="0" xfId="3" applyNumberFormat="1" applyFont="1" applyFill="1" applyAlignment="1">
      <alignment horizontal="center" vertical="center" wrapText="1"/>
    </xf>
    <xf numFmtId="0" fontId="7" fillId="0" borderId="0" xfId="9" applyBorder="1" applyAlignment="1">
      <alignment horizontal="right" vertical="center"/>
    </xf>
    <xf numFmtId="0" fontId="7" fillId="0" borderId="0" xfId="9" applyBorder="1" applyAlignment="1">
      <alignment vertical="center" wrapText="1"/>
    </xf>
    <xf numFmtId="0" fontId="7" fillId="0" borderId="0" xfId="9" applyBorder="1" applyAlignment="1">
      <alignment horizontal="center" vertical="center"/>
    </xf>
    <xf numFmtId="0" fontId="56" fillId="0" borderId="0" xfId="9" applyFont="1" applyBorder="1" applyAlignment="1">
      <alignment horizontal="center" vertical="center"/>
    </xf>
    <xf numFmtId="171" fontId="65" fillId="0" borderId="0" xfId="9" applyNumberFormat="1" applyFont="1" applyBorder="1" applyAlignment="1">
      <alignment horizontal="center" vertical="center"/>
    </xf>
    <xf numFmtId="4" fontId="61" fillId="0" borderId="0" xfId="8" applyNumberFormat="1" applyFont="1" applyBorder="1" applyAlignment="1">
      <alignment horizontal="center" vertical="center"/>
    </xf>
    <xf numFmtId="4" fontId="61" fillId="0" borderId="0" xfId="7" applyNumberFormat="1" applyFont="1" applyBorder="1" applyAlignment="1">
      <alignment horizontal="center" vertical="center"/>
    </xf>
    <xf numFmtId="44" fontId="64" fillId="0" borderId="0" xfId="1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" fontId="61" fillId="0" borderId="0" xfId="0" applyNumberFormat="1" applyFont="1" applyBorder="1" applyAlignment="1">
      <alignment horizontal="center" vertical="center"/>
    </xf>
    <xf numFmtId="170" fontId="0" fillId="0" borderId="0" xfId="0" applyNumberFormat="1"/>
    <xf numFmtId="171" fontId="61" fillId="0" borderId="0" xfId="7" applyNumberFormat="1" applyFont="1" applyBorder="1"/>
    <xf numFmtId="0" fontId="61" fillId="0" borderId="0" xfId="7" applyFont="1" applyBorder="1"/>
    <xf numFmtId="0" fontId="61" fillId="0" borderId="0" xfId="0" applyFont="1" applyBorder="1"/>
    <xf numFmtId="0" fontId="61" fillId="0" borderId="0" xfId="0" applyFont="1"/>
    <xf numFmtId="44" fontId="64" fillId="0" borderId="0" xfId="0" applyNumberFormat="1" applyFont="1"/>
    <xf numFmtId="0" fontId="3" fillId="0" borderId="0" xfId="0" applyFont="1"/>
    <xf numFmtId="4" fontId="0" fillId="0" borderId="0" xfId="0" applyNumberFormat="1"/>
    <xf numFmtId="170" fontId="20" fillId="0" borderId="8" xfId="3" applyNumberFormat="1" applyFont="1" applyBorder="1" applyAlignment="1" applyProtection="1">
      <alignment horizontal="right" vertical="center"/>
      <protection hidden="1"/>
    </xf>
    <xf numFmtId="4" fontId="2" fillId="0" borderId="0" xfId="0" applyNumberFormat="1" applyFont="1" applyBorder="1"/>
    <xf numFmtId="0" fontId="2" fillId="0" borderId="0" xfId="0" applyFont="1" applyBorder="1"/>
    <xf numFmtId="171" fontId="2" fillId="0" borderId="0" xfId="0" applyNumberFormat="1" applyFont="1" applyBorder="1"/>
    <xf numFmtId="0" fontId="4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68" fontId="34" fillId="0" borderId="0" xfId="3" applyNumberFormat="1" applyFont="1" applyAlignment="1">
      <alignment horizontal="center" vertical="center"/>
    </xf>
    <xf numFmtId="168" fontId="39" fillId="0" borderId="0" xfId="3" applyNumberFormat="1" applyFont="1" applyAlignment="1">
      <alignment horizontal="center" vertical="center"/>
    </xf>
    <xf numFmtId="168" fontId="38" fillId="0" borderId="0" xfId="3" applyNumberFormat="1" applyFont="1" applyAlignment="1">
      <alignment horizontal="center" vertical="center"/>
    </xf>
    <xf numFmtId="0" fontId="33" fillId="0" borderId="0" xfId="5" applyFont="1" applyAlignment="1">
      <alignment horizontal="left" vertical="center" wrapText="1"/>
    </xf>
    <xf numFmtId="0" fontId="6" fillId="0" borderId="0" xfId="5" applyAlignment="1">
      <alignment vertical="center"/>
    </xf>
    <xf numFmtId="0" fontId="3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2" fontId="62" fillId="0" borderId="0" xfId="0" applyNumberFormat="1" applyFont="1" applyBorder="1"/>
    <xf numFmtId="2" fontId="2" fillId="0" borderId="0" xfId="0" applyNumberFormat="1" applyFont="1" applyBorder="1"/>
    <xf numFmtId="170" fontId="62" fillId="0" borderId="0" xfId="0" applyNumberFormat="1" applyFont="1"/>
  </cellXfs>
  <cellStyles count="12">
    <cellStyle name="Měna" xfId="11" builtinId="4"/>
    <cellStyle name="Normální" xfId="0" builtinId="0"/>
    <cellStyle name="normální 2" xfId="3" xr:uid="{BE4FC837-295E-492C-9736-EBBF4B05A06B}"/>
    <cellStyle name="Normální 3" xfId="9" xr:uid="{E90BF45C-5782-4D12-BE9F-DC6A9142B81A}"/>
    <cellStyle name="Normální 9" xfId="5" xr:uid="{93DD1E86-65E5-44D0-A10C-3B1F3828121C}"/>
    <cellStyle name="Normální 92 2 2" xfId="7" xr:uid="{2596A49C-087D-4D92-917B-E73BB2DA88F1}"/>
    <cellStyle name="Normální 92 3 2" xfId="8" xr:uid="{2AB02DB2-1769-4F80-8DD5-2556AA0A61AD}"/>
    <cellStyle name="Normální 96" xfId="10" xr:uid="{99EC3AF9-8382-42BA-A15E-C5F47A555BA5}"/>
    <cellStyle name="normální_4948_Odbytovy_rozpocet-Rusek 2" xfId="6" xr:uid="{A95BB934-9740-4B4B-8A8E-62D6B23EEB1F}"/>
    <cellStyle name="normální_Agregované položky akce389" xfId="1" xr:uid="{1C043B15-5236-42EB-8CFA-0D7DA86D987E}"/>
    <cellStyle name="normální_Pekapitulace výkazu výměr" xfId="2" xr:uid="{5FAD7D42-384C-44B3-824A-E3648C57F208}"/>
    <cellStyle name="normální_Pekapitulace výkazu výměr 2" xfId="4" xr:uid="{7E8A5000-4A13-4541-A3FE-66E07EA64095}"/>
  </cellStyles>
  <dxfs count="19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99AF92D6-CDCB-40E6-A868-D93DA32D3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8D2A4036-E4A7-441D-97A3-D7DF58120D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4" name="Picture 1" descr="VCES_logo_CMYK">
          <a:extLst>
            <a:ext uri="{FF2B5EF4-FFF2-40B4-BE49-F238E27FC236}">
              <a16:creationId xmlns:a16="http://schemas.microsoft.com/office/drawing/2014/main" id="{04DFC2A1-8939-4CCF-AB58-4A886FED1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DA044DB0-330F-404C-841D-465557A7B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D94AA2E2-B136-4DA7-9B1F-916BD68B4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3D10DFD9-C288-4D09-AC33-0C7CBC6C6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5" name="Picture 1" descr="VCES_logo_CMYK">
          <a:extLst>
            <a:ext uri="{FF2B5EF4-FFF2-40B4-BE49-F238E27FC236}">
              <a16:creationId xmlns:a16="http://schemas.microsoft.com/office/drawing/2014/main" id="{3A777297-9DAF-4E75-84BA-E980B3B40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6" name="Picture 1" descr="VCES_logo_CMYK">
          <a:extLst>
            <a:ext uri="{FF2B5EF4-FFF2-40B4-BE49-F238E27FC236}">
              <a16:creationId xmlns:a16="http://schemas.microsoft.com/office/drawing/2014/main" id="{7CA51AB0-9EF0-4309-9F61-38410CB5F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A4D6A914-C889-4DF4-87BA-8AF22C655E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B1E5838C-1F4F-4509-8962-8D8EEAC593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4" name="Picture 1" descr="VCES_logo_CMYK">
          <a:extLst>
            <a:ext uri="{FF2B5EF4-FFF2-40B4-BE49-F238E27FC236}">
              <a16:creationId xmlns:a16="http://schemas.microsoft.com/office/drawing/2014/main" id="{19E0A779-8BE2-403D-9BA7-FDD735531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ADBD481A-C6B2-426F-8EE0-EB29194DD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13EFED32-A1A1-4817-91DA-D99F73495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4" name="Picture 1" descr="VCES_logo_CMYK">
          <a:extLst>
            <a:ext uri="{FF2B5EF4-FFF2-40B4-BE49-F238E27FC236}">
              <a16:creationId xmlns:a16="http://schemas.microsoft.com/office/drawing/2014/main" id="{14BB78E3-0EBA-4E62-8C28-41135336E4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856247AA-A676-4618-9927-D22DA7B351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A48C0E6D-48F6-44BA-9650-1A0FDE018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4" name="Picture 1" descr="VCES_logo_CMYK">
          <a:extLst>
            <a:ext uri="{FF2B5EF4-FFF2-40B4-BE49-F238E27FC236}">
              <a16:creationId xmlns:a16="http://schemas.microsoft.com/office/drawing/2014/main" id="{0A99F646-1224-497A-A80B-A20F00A75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FB76CCF5-E06C-450E-9237-190AD473E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5909FFCF-1EA1-4036-8651-9677C74C9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4" name="Picture 1" descr="VCES_logo_CMYK">
          <a:extLst>
            <a:ext uri="{FF2B5EF4-FFF2-40B4-BE49-F238E27FC236}">
              <a16:creationId xmlns:a16="http://schemas.microsoft.com/office/drawing/2014/main" id="{D63AB415-3212-4F7A-9CCA-926F2EFC1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B830BCEA-5058-4EA2-842E-AB694CFDD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4864141F-B2DF-44FA-8916-04B296FFF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4" name="Picture 1" descr="VCES_logo_CMYK">
          <a:extLst>
            <a:ext uri="{FF2B5EF4-FFF2-40B4-BE49-F238E27FC236}">
              <a16:creationId xmlns:a16="http://schemas.microsoft.com/office/drawing/2014/main" id="{BE23654C-3EED-4919-8DBF-12EA2E026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C446F029-4876-4AC4-AAD5-EA750E2585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3182A0FD-0522-4A6D-9471-45BE210B1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2</xdr:row>
      <xdr:rowOff>28575</xdr:rowOff>
    </xdr:to>
    <xdr:pic>
      <xdr:nvPicPr>
        <xdr:cNvPr id="4" name="Picture 1" descr="VCES_logo_CMYK">
          <a:extLst>
            <a:ext uri="{FF2B5EF4-FFF2-40B4-BE49-F238E27FC236}">
              <a16:creationId xmlns:a16="http://schemas.microsoft.com/office/drawing/2014/main" id="{D7752673-F6A1-4825-80BF-AD87263E5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6200"/>
          <a:ext cx="1000125" cy="3143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13DBA-08E5-4C16-ACB1-4EEF32654984}">
  <dimension ref="A2:J41"/>
  <sheetViews>
    <sheetView tabSelected="1" view="pageBreakPreview" topLeftCell="A7" zoomScale="60" zoomScaleNormal="100" workbookViewId="0">
      <selection activeCell="D19" sqref="D19"/>
    </sheetView>
  </sheetViews>
  <sheetFormatPr defaultRowHeight="15" x14ac:dyDescent="0.25"/>
  <cols>
    <col min="1" max="1" width="11.85546875" customWidth="1"/>
    <col min="2" max="2" width="36.140625" customWidth="1"/>
    <col min="3" max="5" width="23.5703125" customWidth="1"/>
    <col min="8" max="8" width="10.28515625" bestFit="1" customWidth="1"/>
    <col min="9" max="9" width="8.42578125" bestFit="1" customWidth="1"/>
    <col min="10" max="11" width="18.28515625" customWidth="1"/>
  </cols>
  <sheetData>
    <row r="2" spans="1:10" ht="18" x14ac:dyDescent="0.25">
      <c r="A2" s="259" t="s">
        <v>25</v>
      </c>
      <c r="B2" s="259"/>
      <c r="C2" s="259"/>
      <c r="D2" s="259"/>
      <c r="E2" s="259"/>
    </row>
    <row r="3" spans="1:10" ht="18" x14ac:dyDescent="0.25">
      <c r="A3" s="1"/>
      <c r="B3" s="1"/>
      <c r="C3" s="1"/>
      <c r="D3" s="1"/>
      <c r="E3" s="1"/>
    </row>
    <row r="4" spans="1:10" ht="18" x14ac:dyDescent="0.25">
      <c r="A4" s="1"/>
      <c r="B4" s="2" t="s">
        <v>0</v>
      </c>
      <c r="C4" s="3" t="s">
        <v>1</v>
      </c>
      <c r="D4" s="4"/>
      <c r="E4" s="5"/>
      <c r="F4" s="6"/>
    </row>
    <row r="5" spans="1:10" ht="18" x14ac:dyDescent="0.25">
      <c r="A5" s="1"/>
      <c r="B5" s="2" t="s">
        <v>2</v>
      </c>
      <c r="C5" s="3" t="s">
        <v>360</v>
      </c>
      <c r="D5" s="4"/>
      <c r="E5" s="5"/>
      <c r="F5" s="6"/>
    </row>
    <row r="6" spans="1:10" ht="18" x14ac:dyDescent="0.25">
      <c r="A6" s="1"/>
      <c r="B6" s="7" t="s">
        <v>3</v>
      </c>
      <c r="C6" s="8" t="s">
        <v>4</v>
      </c>
      <c r="D6" s="4"/>
      <c r="E6" s="5"/>
      <c r="F6" s="6"/>
    </row>
    <row r="7" spans="1:10" ht="18" x14ac:dyDescent="0.25">
      <c r="A7" s="1"/>
      <c r="B7" s="7" t="s">
        <v>5</v>
      </c>
      <c r="C7" s="9" t="s">
        <v>6</v>
      </c>
      <c r="D7" s="10"/>
      <c r="E7" s="11"/>
      <c r="F7" s="6"/>
    </row>
    <row r="8" spans="1:10" ht="18" x14ac:dyDescent="0.25">
      <c r="A8" s="1"/>
      <c r="B8" s="2" t="s">
        <v>7</v>
      </c>
      <c r="C8" s="12" t="s">
        <v>8</v>
      </c>
      <c r="D8" s="10"/>
      <c r="E8" s="11"/>
      <c r="F8" s="6"/>
    </row>
    <row r="9" spans="1:10" ht="18" x14ac:dyDescent="0.25">
      <c r="A9" s="1"/>
      <c r="B9" s="2" t="s">
        <v>9</v>
      </c>
      <c r="C9" s="12" t="s">
        <v>10</v>
      </c>
      <c r="D9" s="10"/>
      <c r="E9" s="11"/>
      <c r="F9" s="6"/>
    </row>
    <row r="10" spans="1:10" ht="18" x14ac:dyDescent="0.25">
      <c r="A10" s="1"/>
      <c r="B10" s="1"/>
      <c r="C10" s="1"/>
      <c r="D10" s="1"/>
      <c r="E10" s="1"/>
    </row>
    <row r="12" spans="1:10" x14ac:dyDescent="0.25">
      <c r="A12" s="260" t="s">
        <v>11</v>
      </c>
      <c r="B12" s="260" t="s">
        <v>12</v>
      </c>
      <c r="C12" s="262" t="s">
        <v>13</v>
      </c>
      <c r="D12" s="263"/>
      <c r="E12" s="264"/>
    </row>
    <row r="13" spans="1:10" x14ac:dyDescent="0.25">
      <c r="A13" s="261"/>
      <c r="B13" s="261"/>
      <c r="C13" s="13" t="s">
        <v>14</v>
      </c>
      <c r="D13" s="14" t="s">
        <v>15</v>
      </c>
      <c r="E13" s="13" t="s">
        <v>16</v>
      </c>
    </row>
    <row r="14" spans="1:10" s="18" customFormat="1" ht="30" customHeight="1" x14ac:dyDescent="0.25">
      <c r="A14" s="66" t="s">
        <v>26</v>
      </c>
      <c r="B14" s="21" t="s">
        <v>27</v>
      </c>
      <c r="C14" s="15"/>
      <c r="D14" s="16">
        <f>'004-01'!K125</f>
        <v>743107.00515979994</v>
      </c>
      <c r="E14" s="17">
        <f>D14</f>
        <v>743107.00515979994</v>
      </c>
      <c r="H14" s="19"/>
      <c r="I14" s="19"/>
      <c r="J14" s="20"/>
    </row>
    <row r="15" spans="1:10" s="18" customFormat="1" ht="30" customHeight="1" x14ac:dyDescent="0.25">
      <c r="A15" s="66" t="s">
        <v>30</v>
      </c>
      <c r="B15" s="21" t="s">
        <v>31</v>
      </c>
      <c r="C15" s="15"/>
      <c r="D15" s="16">
        <v>530928.70850812492</v>
      </c>
      <c r="E15" s="17">
        <f t="shared" ref="E15:E23" si="0">D15</f>
        <v>530928.70850812492</v>
      </c>
      <c r="H15" s="19"/>
      <c r="I15" s="19"/>
      <c r="J15" s="20"/>
    </row>
    <row r="16" spans="1:10" s="18" customFormat="1" ht="30" customHeight="1" x14ac:dyDescent="0.25">
      <c r="A16" s="66" t="s">
        <v>32</v>
      </c>
      <c r="B16" s="21" t="s">
        <v>33</v>
      </c>
      <c r="C16" s="15"/>
      <c r="D16" s="16">
        <v>696224.22</v>
      </c>
      <c r="E16" s="17">
        <f t="shared" si="0"/>
        <v>696224.22</v>
      </c>
      <c r="H16" s="19"/>
      <c r="I16" s="19"/>
      <c r="J16" s="20"/>
    </row>
    <row r="17" spans="1:10" s="18" customFormat="1" ht="30" customHeight="1" x14ac:dyDescent="0.25">
      <c r="A17" s="66" t="s">
        <v>34</v>
      </c>
      <c r="B17" s="21" t="s">
        <v>35</v>
      </c>
      <c r="C17" s="15"/>
      <c r="D17" s="16">
        <v>23319</v>
      </c>
      <c r="E17" s="17">
        <f t="shared" si="0"/>
        <v>23319</v>
      </c>
      <c r="H17" s="19"/>
      <c r="I17" s="19"/>
      <c r="J17" s="20"/>
    </row>
    <row r="18" spans="1:10" s="18" customFormat="1" ht="30" customHeight="1" x14ac:dyDescent="0.25">
      <c r="A18" s="66" t="s">
        <v>37</v>
      </c>
      <c r="B18" s="21" t="s">
        <v>38</v>
      </c>
      <c r="C18" s="15"/>
      <c r="D18" s="16">
        <v>82328.94</v>
      </c>
      <c r="E18" s="17">
        <f t="shared" si="0"/>
        <v>82328.94</v>
      </c>
      <c r="H18" s="19"/>
      <c r="I18" s="19"/>
      <c r="J18" s="20"/>
    </row>
    <row r="19" spans="1:10" s="18" customFormat="1" ht="30" customHeight="1" x14ac:dyDescent="0.25">
      <c r="A19" s="66" t="s">
        <v>39</v>
      </c>
      <c r="B19" s="21" t="s">
        <v>40</v>
      </c>
      <c r="C19" s="15"/>
      <c r="D19" s="16">
        <v>71149.69</v>
      </c>
      <c r="E19" s="17">
        <f t="shared" si="0"/>
        <v>71149.69</v>
      </c>
      <c r="H19" s="19"/>
      <c r="I19" s="19"/>
      <c r="J19" s="20"/>
    </row>
    <row r="20" spans="1:10" s="18" customFormat="1" ht="30" customHeight="1" x14ac:dyDescent="0.25">
      <c r="A20" s="66" t="s">
        <v>41</v>
      </c>
      <c r="B20" s="21" t="s">
        <v>42</v>
      </c>
      <c r="C20" s="15"/>
      <c r="D20" s="67">
        <v>4801.82</v>
      </c>
      <c r="E20" s="17">
        <f t="shared" si="0"/>
        <v>4801.82</v>
      </c>
      <c r="H20" s="19"/>
      <c r="I20" s="19"/>
      <c r="J20" s="20"/>
    </row>
    <row r="21" spans="1:10" s="18" customFormat="1" ht="30" customHeight="1" x14ac:dyDescent="0.25">
      <c r="A21" s="66" t="s">
        <v>43</v>
      </c>
      <c r="B21" s="21" t="s">
        <v>44</v>
      </c>
      <c r="C21" s="15"/>
      <c r="D21" s="67">
        <v>-125000.97</v>
      </c>
      <c r="E21" s="17">
        <f t="shared" si="0"/>
        <v>-125000.97</v>
      </c>
      <c r="H21" s="19"/>
      <c r="I21" s="19"/>
      <c r="J21" s="20"/>
    </row>
    <row r="22" spans="1:10" s="18" customFormat="1" ht="30" customHeight="1" x14ac:dyDescent="0.25">
      <c r="A22" s="66" t="s">
        <v>45</v>
      </c>
      <c r="B22" s="21" t="s">
        <v>46</v>
      </c>
      <c r="C22" s="15"/>
      <c r="D22" s="67">
        <v>-2463276.98</v>
      </c>
      <c r="E22" s="17">
        <f t="shared" si="0"/>
        <v>-2463276.98</v>
      </c>
      <c r="H22" s="19"/>
      <c r="I22" s="19"/>
      <c r="J22" s="20"/>
    </row>
    <row r="23" spans="1:10" s="18" customFormat="1" ht="30" customHeight="1" x14ac:dyDescent="0.25">
      <c r="A23" s="66" t="s">
        <v>47</v>
      </c>
      <c r="B23" s="21" t="s">
        <v>356</v>
      </c>
      <c r="C23" s="15"/>
      <c r="D23" s="67">
        <v>-406013.75</v>
      </c>
      <c r="E23" s="17">
        <f t="shared" si="0"/>
        <v>-406013.75</v>
      </c>
      <c r="H23" s="19"/>
      <c r="I23" s="19"/>
      <c r="J23" s="20"/>
    </row>
    <row r="24" spans="1:10" s="18" customFormat="1" x14ac:dyDescent="0.25">
      <c r="A24" s="22"/>
      <c r="B24" s="23"/>
      <c r="C24" s="24"/>
      <c r="D24" s="25"/>
      <c r="E24" s="26"/>
      <c r="H24" s="19"/>
      <c r="I24" s="19"/>
      <c r="J24" s="20"/>
    </row>
    <row r="25" spans="1:10" s="18" customFormat="1" x14ac:dyDescent="0.25">
      <c r="A25" s="22"/>
      <c r="B25" s="23"/>
      <c r="C25" s="24"/>
      <c r="D25" s="25"/>
      <c r="E25" s="26"/>
      <c r="H25" s="19"/>
      <c r="I25" s="19"/>
      <c r="J25" s="20"/>
    </row>
    <row r="27" spans="1:10" ht="15.75" x14ac:dyDescent="0.25">
      <c r="B27" s="27" t="s">
        <v>17</v>
      </c>
      <c r="C27" s="28">
        <f>SUM(C14:C14)</f>
        <v>0</v>
      </c>
      <c r="D27" s="29">
        <f>SUM(D14:D23)</f>
        <v>-842432.31633207505</v>
      </c>
      <c r="E27" s="30">
        <f>SUM(E14:E23)</f>
        <v>-842432.31633207505</v>
      </c>
    </row>
    <row r="29" spans="1:10" ht="15.75" x14ac:dyDescent="0.25">
      <c r="B29" s="31" t="s">
        <v>18</v>
      </c>
      <c r="E29" s="32" t="s">
        <v>19</v>
      </c>
    </row>
    <row r="30" spans="1:10" x14ac:dyDescent="0.25">
      <c r="E30" s="33"/>
    </row>
    <row r="31" spans="1:10" x14ac:dyDescent="0.25">
      <c r="E31" s="34"/>
    </row>
    <row r="32" spans="1:10" x14ac:dyDescent="0.25">
      <c r="E32" s="33"/>
    </row>
    <row r="33" spans="2:5" ht="15.75" x14ac:dyDescent="0.25">
      <c r="B33" s="35" t="s">
        <v>20</v>
      </c>
      <c r="E33" s="32" t="s">
        <v>19</v>
      </c>
    </row>
    <row r="34" spans="2:5" x14ac:dyDescent="0.25">
      <c r="E34" s="33"/>
    </row>
    <row r="35" spans="2:5" x14ac:dyDescent="0.25">
      <c r="E35" s="33"/>
    </row>
    <row r="36" spans="2:5" x14ac:dyDescent="0.25">
      <c r="E36" s="33"/>
    </row>
    <row r="37" spans="2:5" ht="15.75" x14ac:dyDescent="0.25">
      <c r="B37" s="35" t="s">
        <v>21</v>
      </c>
      <c r="E37" s="32" t="s">
        <v>19</v>
      </c>
    </row>
    <row r="38" spans="2:5" x14ac:dyDescent="0.25">
      <c r="E38" s="33"/>
    </row>
    <row r="39" spans="2:5" x14ac:dyDescent="0.25">
      <c r="E39" s="33"/>
    </row>
    <row r="40" spans="2:5" x14ac:dyDescent="0.25">
      <c r="E40" s="33"/>
    </row>
    <row r="41" spans="2:5" ht="15.75" x14ac:dyDescent="0.25">
      <c r="B41" s="36" t="s">
        <v>22</v>
      </c>
      <c r="E41" s="32" t="s">
        <v>19</v>
      </c>
    </row>
  </sheetData>
  <mergeCells count="4">
    <mergeCell ref="A2:E2"/>
    <mergeCell ref="A12:A13"/>
    <mergeCell ref="B12:B13"/>
    <mergeCell ref="C12:E12"/>
  </mergeCells>
  <phoneticPr fontId="32" type="noConversion"/>
  <conditionalFormatting sqref="C5">
    <cfRule type="cellIs" dxfId="18" priority="1" stopIfTrue="1" operator="lessThan">
      <formula>0</formula>
    </cfRule>
  </conditionalFormatting>
  <pageMargins left="0.7" right="0.7" top="0.75" bottom="0.75" header="0.3" footer="0.3"/>
  <pageSetup paperSize="9" scale="7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EB6C3-5CDA-4D27-80BE-874D713D16EC}">
  <dimension ref="A1:AH325"/>
  <sheetViews>
    <sheetView view="pageBreakPreview" topLeftCell="D297" zoomScale="70" zoomScaleNormal="100" zoomScaleSheetLayoutView="70" workbookViewId="0">
      <selection activeCell="I309" sqref="I309"/>
    </sheetView>
  </sheetViews>
  <sheetFormatPr defaultRowHeight="15" x14ac:dyDescent="0.25"/>
  <cols>
    <col min="3" max="3" width="41.42578125" customWidth="1"/>
    <col min="7" max="7" width="20.5703125" bestFit="1" customWidth="1"/>
    <col min="10" max="10" width="21.5703125" bestFit="1" customWidth="1"/>
    <col min="12" max="12" width="10" bestFit="1" customWidth="1"/>
    <col min="13" max="13" width="20.5703125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37"/>
      <c r="I1" s="37"/>
      <c r="J1" s="37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D2" s="2" t="s">
        <v>0</v>
      </c>
      <c r="E2" s="43" t="s">
        <v>359</v>
      </c>
      <c r="F2" s="44"/>
      <c r="G2" s="45"/>
      <c r="H2" s="46"/>
      <c r="I2" s="46"/>
      <c r="J2" s="46"/>
      <c r="K2" s="47"/>
      <c r="L2" s="47"/>
      <c r="M2" s="47"/>
      <c r="N2" s="46"/>
      <c r="O2" s="48"/>
      <c r="P2" s="49"/>
      <c r="Q2" s="48"/>
      <c r="R2" s="46"/>
      <c r="S2" s="47"/>
      <c r="T2" s="46"/>
      <c r="U2" s="47"/>
      <c r="V2" s="46"/>
      <c r="W2" s="47"/>
      <c r="X2" s="46"/>
      <c r="Y2" s="47"/>
      <c r="Z2" s="46"/>
      <c r="AA2" s="47"/>
      <c r="AB2" s="46"/>
      <c r="AC2" s="47"/>
      <c r="AD2" s="46"/>
      <c r="AE2" s="50"/>
      <c r="AF2" s="51"/>
      <c r="AG2" s="52"/>
      <c r="AH2" s="53"/>
    </row>
    <row r="3" spans="1:34" s="41" customFormat="1" ht="15.75" x14ac:dyDescent="0.25">
      <c r="A3" s="4"/>
      <c r="B3" s="42"/>
      <c r="D3" s="2" t="s">
        <v>2</v>
      </c>
      <c r="E3" s="3" t="s">
        <v>360</v>
      </c>
      <c r="F3" s="44"/>
      <c r="G3" s="45"/>
      <c r="H3" s="46"/>
      <c r="I3" s="46"/>
      <c r="J3" s="46"/>
      <c r="K3" s="47"/>
      <c r="L3" s="47"/>
      <c r="M3" s="47"/>
      <c r="N3" s="46"/>
      <c r="O3" s="48"/>
      <c r="P3" s="49"/>
      <c r="Q3" s="48"/>
      <c r="R3" s="46"/>
      <c r="S3" s="47"/>
      <c r="T3" s="46"/>
      <c r="U3" s="47"/>
      <c r="V3" s="46"/>
      <c r="W3" s="47"/>
      <c r="X3" s="46"/>
      <c r="Y3" s="47"/>
      <c r="Z3" s="46"/>
      <c r="AA3" s="47"/>
      <c r="AB3" s="46"/>
      <c r="AC3" s="47"/>
      <c r="AD3" s="46"/>
      <c r="AE3" s="50"/>
      <c r="AF3" s="51"/>
      <c r="AG3" s="52"/>
      <c r="AH3" s="53"/>
    </row>
    <row r="4" spans="1:34" s="41" customFormat="1" ht="15.75" x14ac:dyDescent="0.25">
      <c r="A4" s="4"/>
      <c r="B4" s="42"/>
      <c r="D4" s="54" t="s">
        <v>3</v>
      </c>
      <c r="E4" s="55" t="s">
        <v>23</v>
      </c>
      <c r="F4" s="44"/>
      <c r="G4" s="45"/>
      <c r="H4" s="46"/>
      <c r="I4" s="46"/>
      <c r="J4" s="46"/>
      <c r="K4" s="47"/>
      <c r="L4" s="47"/>
      <c r="M4" s="47"/>
      <c r="N4" s="46"/>
      <c r="O4" s="48"/>
      <c r="P4" s="49"/>
      <c r="Q4" s="48"/>
      <c r="R4" s="46"/>
      <c r="S4" s="47"/>
      <c r="T4" s="46"/>
      <c r="U4" s="47"/>
      <c r="V4" s="46"/>
      <c r="W4" s="47"/>
      <c r="X4" s="46"/>
      <c r="Y4" s="47"/>
      <c r="Z4" s="46"/>
      <c r="AA4" s="47"/>
      <c r="AB4" s="46"/>
      <c r="AC4" s="47"/>
      <c r="AD4" s="46"/>
      <c r="AE4" s="50"/>
      <c r="AF4" s="51"/>
      <c r="AG4" s="52"/>
      <c r="AH4" s="53"/>
    </row>
    <row r="5" spans="1:34" s="41" customFormat="1" ht="15.75" x14ac:dyDescent="0.25">
      <c r="A5" s="42"/>
      <c r="B5" s="42"/>
      <c r="D5" s="54" t="s">
        <v>5</v>
      </c>
      <c r="E5" s="55"/>
      <c r="F5" s="56"/>
      <c r="G5" s="45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1" customFormat="1" ht="15.75" x14ac:dyDescent="0.25">
      <c r="A6" s="42"/>
      <c r="B6" s="42"/>
      <c r="D6" s="2" t="s">
        <v>7</v>
      </c>
      <c r="E6" s="55" t="s">
        <v>24</v>
      </c>
      <c r="F6" s="56"/>
      <c r="G6" s="45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1" customFormat="1" ht="15.75" x14ac:dyDescent="0.25">
      <c r="A7" s="42"/>
      <c r="B7" s="42"/>
      <c r="D7" s="2" t="s">
        <v>9</v>
      </c>
      <c r="E7" s="65" t="s">
        <v>10</v>
      </c>
      <c r="F7" s="56"/>
      <c r="G7" s="45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8" spans="1:34" s="41" customFormat="1" ht="15.75" x14ac:dyDescent="0.25">
      <c r="A8" s="42"/>
      <c r="B8" s="42"/>
      <c r="D8" s="2"/>
      <c r="E8" s="65"/>
      <c r="F8" s="56"/>
      <c r="G8" s="45"/>
      <c r="H8" s="57"/>
      <c r="I8" s="57"/>
      <c r="J8" s="57"/>
      <c r="K8" s="58"/>
      <c r="L8" s="58"/>
      <c r="M8" s="58"/>
      <c r="N8" s="57"/>
      <c r="O8" s="59"/>
      <c r="P8" s="60"/>
      <c r="Q8" s="59"/>
      <c r="R8" s="57"/>
      <c r="S8" s="58"/>
      <c r="T8" s="57"/>
      <c r="U8" s="58"/>
      <c r="V8" s="57"/>
      <c r="W8" s="58"/>
      <c r="X8" s="57"/>
      <c r="Y8" s="58"/>
      <c r="Z8" s="57"/>
      <c r="AA8" s="58"/>
      <c r="AB8" s="57"/>
      <c r="AC8" s="58"/>
      <c r="AD8" s="57"/>
      <c r="AE8" s="61"/>
      <c r="AF8" s="62"/>
      <c r="AG8" s="63"/>
      <c r="AH8" s="64"/>
    </row>
    <row r="9" spans="1:34" s="41" customFormat="1" ht="15.75" x14ac:dyDescent="0.25">
      <c r="A9" s="42"/>
      <c r="B9" s="42"/>
      <c r="D9" s="2"/>
      <c r="E9" s="65"/>
      <c r="F9" s="56"/>
      <c r="G9" s="45"/>
      <c r="H9" s="57"/>
      <c r="I9" s="57"/>
      <c r="J9" s="57"/>
      <c r="K9" s="58"/>
      <c r="L9" s="58"/>
      <c r="M9" s="58"/>
      <c r="N9" s="57"/>
      <c r="O9" s="59"/>
      <c r="P9" s="60"/>
      <c r="Q9" s="59"/>
      <c r="R9" s="57"/>
      <c r="S9" s="58"/>
      <c r="T9" s="57"/>
      <c r="U9" s="58"/>
      <c r="V9" s="57"/>
      <c r="W9" s="58"/>
      <c r="X9" s="57"/>
      <c r="Y9" s="58"/>
      <c r="Z9" s="57"/>
      <c r="AA9" s="58"/>
      <c r="AB9" s="57"/>
      <c r="AC9" s="58"/>
      <c r="AD9" s="57"/>
      <c r="AE9" s="61"/>
      <c r="AF9" s="62"/>
      <c r="AG9" s="63"/>
      <c r="AH9" s="64"/>
    </row>
    <row r="10" spans="1:34" ht="18" x14ac:dyDescent="0.25">
      <c r="B10" s="183" t="s">
        <v>365</v>
      </c>
    </row>
    <row r="11" spans="1:34" ht="18" x14ac:dyDescent="0.25">
      <c r="B11" s="183"/>
    </row>
    <row r="12" spans="1:34" ht="18" x14ac:dyDescent="0.25">
      <c r="B12" s="183"/>
    </row>
    <row r="13" spans="1:34" ht="18" x14ac:dyDescent="0.25">
      <c r="B13" s="183"/>
    </row>
    <row r="14" spans="1:34" x14ac:dyDescent="0.25">
      <c r="A14" s="270" t="s">
        <v>281</v>
      </c>
      <c r="B14" s="271"/>
      <c r="C14" s="271"/>
      <c r="D14" s="271"/>
      <c r="E14" s="68"/>
      <c r="F14" s="155"/>
      <c r="G14" s="69"/>
      <c r="H14" s="70"/>
      <c r="I14" s="71"/>
      <c r="J14" s="156"/>
      <c r="K14" s="157"/>
      <c r="L14" s="157"/>
      <c r="M14" s="158"/>
    </row>
    <row r="15" spans="1:34" x14ac:dyDescent="0.25">
      <c r="A15" s="41"/>
      <c r="B15" s="75"/>
      <c r="C15" s="75"/>
      <c r="D15" s="75"/>
      <c r="E15" s="68"/>
      <c r="F15" s="155"/>
      <c r="G15" s="69"/>
      <c r="H15" s="70"/>
      <c r="I15" s="71"/>
      <c r="J15" s="156"/>
      <c r="K15" s="157"/>
      <c r="L15" s="157"/>
      <c r="M15" s="158"/>
    </row>
    <row r="16" spans="1:34" ht="15.75" x14ac:dyDescent="0.25">
      <c r="A16" s="76" t="s">
        <v>48</v>
      </c>
      <c r="B16" s="77" t="s">
        <v>282</v>
      </c>
      <c r="C16" s="75"/>
      <c r="D16" s="75"/>
      <c r="E16" s="265" t="s">
        <v>50</v>
      </c>
      <c r="F16" s="265"/>
      <c r="G16" s="265"/>
      <c r="H16" s="266" t="s">
        <v>51</v>
      </c>
      <c r="I16" s="266"/>
      <c r="J16" s="266"/>
      <c r="K16" s="267" t="s">
        <v>16</v>
      </c>
      <c r="L16" s="267"/>
      <c r="M16" s="267"/>
    </row>
    <row r="17" spans="1:13" ht="24" x14ac:dyDescent="0.25">
      <c r="A17" s="78" t="s">
        <v>52</v>
      </c>
      <c r="B17" s="79" t="s">
        <v>53</v>
      </c>
      <c r="C17" s="78" t="s">
        <v>53</v>
      </c>
      <c r="D17" s="79" t="s">
        <v>54</v>
      </c>
      <c r="E17" s="80" t="s">
        <v>55</v>
      </c>
      <c r="F17" s="81" t="s">
        <v>56</v>
      </c>
      <c r="G17" s="82" t="s">
        <v>57</v>
      </c>
      <c r="H17" s="83" t="s">
        <v>55</v>
      </c>
      <c r="I17" s="84" t="s">
        <v>58</v>
      </c>
      <c r="J17" s="85" t="s">
        <v>57</v>
      </c>
      <c r="K17" s="86" t="s">
        <v>55</v>
      </c>
      <c r="L17" s="87" t="s">
        <v>58</v>
      </c>
      <c r="M17" s="88" t="s">
        <v>59</v>
      </c>
    </row>
    <row r="18" spans="1:13" x14ac:dyDescent="0.25">
      <c r="A18" s="89" t="s">
        <v>60</v>
      </c>
      <c r="B18" s="90" t="s">
        <v>61</v>
      </c>
      <c r="C18" s="91"/>
      <c r="D18" s="91"/>
      <c r="E18" s="91"/>
      <c r="F18" s="92"/>
      <c r="G18" s="93"/>
      <c r="H18" s="94"/>
      <c r="I18" s="94"/>
      <c r="J18" s="94"/>
      <c r="K18" s="93"/>
      <c r="L18" s="93"/>
      <c r="M18" s="93"/>
    </row>
    <row r="19" spans="1:13" ht="30" x14ac:dyDescent="0.25">
      <c r="A19" s="165" t="s">
        <v>62</v>
      </c>
      <c r="B19" s="166" t="s">
        <v>283</v>
      </c>
      <c r="C19" s="167" t="s">
        <v>284</v>
      </c>
      <c r="D19" s="168" t="s">
        <v>143</v>
      </c>
      <c r="E19" s="169">
        <v>1245.7</v>
      </c>
      <c r="F19" s="170">
        <v>55.24</v>
      </c>
      <c r="G19" s="100">
        <f>IF(ISBLANK(F19),"",(E19*F19))</f>
        <v>68812.468000000008</v>
      </c>
      <c r="H19" s="171">
        <f>-H20</f>
        <v>-510.90999999999997</v>
      </c>
      <c r="I19" s="172">
        <f>F19</f>
        <v>55.24</v>
      </c>
      <c r="J19" s="103">
        <f>IF(ISBLANK(I19),"",(H19*I19))</f>
        <v>-28222.668399999999</v>
      </c>
      <c r="K19" s="104">
        <f>E19+H19</f>
        <v>734.79000000000008</v>
      </c>
      <c r="L19" s="105">
        <f>F19</f>
        <v>55.24</v>
      </c>
      <c r="M19" s="106">
        <f t="shared" ref="M19" si="0">IF(ISBLANK(L19),"",(K19*L19))</f>
        <v>40589.799600000006</v>
      </c>
    </row>
    <row r="20" spans="1:13" x14ac:dyDescent="0.25">
      <c r="A20" s="165"/>
      <c r="B20" s="166"/>
      <c r="C20" s="173" t="s">
        <v>285</v>
      </c>
      <c r="D20" s="168"/>
      <c r="E20" s="169"/>
      <c r="F20" s="170"/>
      <c r="G20" s="100"/>
      <c r="H20" s="173">
        <f>353.84*1+314.14*0.5*1</f>
        <v>510.90999999999997</v>
      </c>
      <c r="I20" s="172"/>
      <c r="J20" s="103"/>
      <c r="K20" s="104"/>
      <c r="L20" s="105"/>
      <c r="M20" s="106"/>
    </row>
    <row r="21" spans="1:13" x14ac:dyDescent="0.25">
      <c r="A21" s="89" t="s">
        <v>173</v>
      </c>
      <c r="B21" s="90" t="s">
        <v>207</v>
      </c>
      <c r="C21" s="91"/>
      <c r="D21" s="91"/>
      <c r="E21" s="91"/>
      <c r="F21" s="92"/>
      <c r="G21" s="93"/>
      <c r="H21" s="93"/>
      <c r="I21" s="93"/>
      <c r="J21" s="93"/>
      <c r="K21" s="93"/>
      <c r="L21" s="93"/>
      <c r="M21" s="93"/>
    </row>
    <row r="22" spans="1:13" ht="30" x14ac:dyDescent="0.25">
      <c r="A22" s="165" t="s">
        <v>286</v>
      </c>
      <c r="B22" s="166" t="s">
        <v>141</v>
      </c>
      <c r="C22" s="167" t="s">
        <v>142</v>
      </c>
      <c r="D22" s="168" t="s">
        <v>143</v>
      </c>
      <c r="E22" s="169">
        <v>1442.3</v>
      </c>
      <c r="F22" s="170">
        <v>23.2</v>
      </c>
      <c r="G22" s="100">
        <f t="shared" ref="G22:G26" si="1">IF(ISBLANK(F22),"",(E22*F22))</f>
        <v>33461.360000000001</v>
      </c>
      <c r="H22" s="171">
        <f>+H19</f>
        <v>-510.90999999999997</v>
      </c>
      <c r="I22" s="172">
        <f>F22</f>
        <v>23.2</v>
      </c>
      <c r="J22" s="103">
        <f t="shared" ref="J22:J32" si="2">IF(ISBLANK(I22),"",(H22*I22))</f>
        <v>-11853.111999999999</v>
      </c>
      <c r="K22" s="104">
        <f>E22+H22</f>
        <v>931.39</v>
      </c>
      <c r="L22" s="105">
        <f t="shared" ref="L22:L32" si="3">F22</f>
        <v>23.2</v>
      </c>
      <c r="M22" s="106">
        <f t="shared" ref="M22:M32" si="4">IF(ISBLANK(L22),"",(K22*L22))</f>
        <v>21608.248</v>
      </c>
    </row>
    <row r="23" spans="1:13" ht="45" x14ac:dyDescent="0.25">
      <c r="A23" s="165" t="s">
        <v>138</v>
      </c>
      <c r="B23" s="166" t="s">
        <v>287</v>
      </c>
      <c r="C23" s="167" t="s">
        <v>288</v>
      </c>
      <c r="D23" s="168" t="s">
        <v>143</v>
      </c>
      <c r="E23" s="169">
        <v>1245.7</v>
      </c>
      <c r="F23" s="170">
        <v>396.71</v>
      </c>
      <c r="G23" s="100">
        <f t="shared" si="1"/>
        <v>494181.647</v>
      </c>
      <c r="H23" s="171">
        <f>-E23</f>
        <v>-1245.7</v>
      </c>
      <c r="I23" s="172">
        <f>F23</f>
        <v>396.71</v>
      </c>
      <c r="J23" s="103">
        <f t="shared" si="2"/>
        <v>-494181.647</v>
      </c>
      <c r="K23" s="104">
        <f>E23+H23</f>
        <v>0</v>
      </c>
      <c r="L23" s="105">
        <f t="shared" si="3"/>
        <v>396.71</v>
      </c>
      <c r="M23" s="106">
        <f t="shared" si="4"/>
        <v>0</v>
      </c>
    </row>
    <row r="24" spans="1:13" x14ac:dyDescent="0.25">
      <c r="A24" s="89" t="s">
        <v>176</v>
      </c>
      <c r="B24" s="90" t="s">
        <v>289</v>
      </c>
      <c r="C24" s="91"/>
      <c r="D24" s="91"/>
      <c r="E24" s="91"/>
      <c r="F24" s="92"/>
      <c r="G24" s="93"/>
      <c r="H24" s="93"/>
      <c r="I24" s="93"/>
      <c r="J24" s="93"/>
      <c r="K24" s="93"/>
      <c r="L24" s="93"/>
      <c r="M24" s="93"/>
    </row>
    <row r="25" spans="1:13" ht="30" x14ac:dyDescent="0.25">
      <c r="A25" s="165">
        <v>108</v>
      </c>
      <c r="B25" s="166" t="s">
        <v>290</v>
      </c>
      <c r="C25" s="167" t="s">
        <v>291</v>
      </c>
      <c r="D25" s="168" t="s">
        <v>219</v>
      </c>
      <c r="E25" s="169">
        <v>143.6</v>
      </c>
      <c r="F25" s="170">
        <v>72.34</v>
      </c>
      <c r="G25" s="100">
        <f t="shared" si="1"/>
        <v>10388.023999999999</v>
      </c>
      <c r="H25" s="171">
        <v>0</v>
      </c>
      <c r="I25" s="172">
        <f t="shared" ref="I25:I26" si="5">F25</f>
        <v>72.34</v>
      </c>
      <c r="J25" s="103">
        <f t="shared" si="2"/>
        <v>0</v>
      </c>
      <c r="K25" s="104">
        <f>E25+H25</f>
        <v>143.6</v>
      </c>
      <c r="L25" s="105">
        <f t="shared" si="3"/>
        <v>72.34</v>
      </c>
      <c r="M25" s="106">
        <f t="shared" si="4"/>
        <v>10388.023999999999</v>
      </c>
    </row>
    <row r="26" spans="1:13" ht="30" x14ac:dyDescent="0.25">
      <c r="A26" s="165" t="s">
        <v>292</v>
      </c>
      <c r="B26" s="166" t="s">
        <v>245</v>
      </c>
      <c r="C26" s="167" t="s">
        <v>246</v>
      </c>
      <c r="D26" s="168" t="s">
        <v>219</v>
      </c>
      <c r="E26" s="169">
        <v>143.6</v>
      </c>
      <c r="F26" s="170">
        <v>87.65</v>
      </c>
      <c r="G26" s="100">
        <f t="shared" si="1"/>
        <v>12586.54</v>
      </c>
      <c r="H26" s="171">
        <v>0</v>
      </c>
      <c r="I26" s="172">
        <f t="shared" si="5"/>
        <v>87.65</v>
      </c>
      <c r="J26" s="103">
        <f t="shared" si="2"/>
        <v>0</v>
      </c>
      <c r="K26" s="104">
        <f>E26+H26</f>
        <v>143.6</v>
      </c>
      <c r="L26" s="105">
        <f t="shared" si="3"/>
        <v>87.65</v>
      </c>
      <c r="M26" s="106">
        <f t="shared" si="4"/>
        <v>12586.54</v>
      </c>
    </row>
    <row r="27" spans="1:13" x14ac:dyDescent="0.25">
      <c r="A27" s="89" t="s">
        <v>293</v>
      </c>
      <c r="B27" s="90" t="s">
        <v>294</v>
      </c>
      <c r="C27" s="91"/>
      <c r="D27" s="91"/>
      <c r="E27" s="91"/>
      <c r="F27" s="92"/>
      <c r="G27" s="93"/>
      <c r="H27" s="93"/>
      <c r="I27" s="93"/>
      <c r="J27" s="93"/>
      <c r="K27" s="93"/>
      <c r="L27" s="93"/>
      <c r="M27" s="93"/>
    </row>
    <row r="28" spans="1:13" ht="30" x14ac:dyDescent="0.25">
      <c r="A28" s="165" t="s">
        <v>98</v>
      </c>
      <c r="B28" s="166" t="s">
        <v>248</v>
      </c>
      <c r="C28" s="167" t="s">
        <v>249</v>
      </c>
      <c r="D28" s="168" t="s">
        <v>192</v>
      </c>
      <c r="E28" s="169">
        <v>982.3</v>
      </c>
      <c r="F28" s="170">
        <v>51.29</v>
      </c>
      <c r="G28" s="100">
        <f t="shared" ref="G28:G34" si="6">IF(ISBLANK(F28),"",(E28*F28))</f>
        <v>50382.166999999994</v>
      </c>
      <c r="H28" s="171">
        <f>-E29</f>
        <v>-65.396480000000011</v>
      </c>
      <c r="I28" s="172">
        <f>F28</f>
        <v>51.29</v>
      </c>
      <c r="J28" s="103">
        <f t="shared" si="2"/>
        <v>-3354.1854592000004</v>
      </c>
      <c r="K28" s="104">
        <f t="shared" ref="K28:K34" si="7">E28+H28</f>
        <v>916.90351999999996</v>
      </c>
      <c r="L28" s="105">
        <f t="shared" si="3"/>
        <v>51.29</v>
      </c>
      <c r="M28" s="106">
        <f t="shared" si="4"/>
        <v>47027.981540799999</v>
      </c>
    </row>
    <row r="29" spans="1:13" ht="22.5" x14ac:dyDescent="0.25">
      <c r="A29" s="165"/>
      <c r="B29" s="166"/>
      <c r="C29" s="173" t="s">
        <v>295</v>
      </c>
      <c r="D29" s="168"/>
      <c r="E29" s="173">
        <f>510.91*0.128</f>
        <v>65.396480000000011</v>
      </c>
      <c r="F29" s="170"/>
      <c r="G29" s="100"/>
      <c r="H29" s="171"/>
      <c r="I29" s="172"/>
      <c r="J29" s="103" t="str">
        <f t="shared" si="2"/>
        <v/>
      </c>
      <c r="K29" s="104"/>
      <c r="L29" s="105"/>
      <c r="M29" s="106"/>
    </row>
    <row r="30" spans="1:13" ht="45" x14ac:dyDescent="0.25">
      <c r="A30" s="165" t="s">
        <v>296</v>
      </c>
      <c r="B30" s="166" t="s">
        <v>251</v>
      </c>
      <c r="C30" s="167" t="s">
        <v>252</v>
      </c>
      <c r="D30" s="168" t="s">
        <v>192</v>
      </c>
      <c r="E30" s="169">
        <v>372.7</v>
      </c>
      <c r="F30" s="170">
        <v>257.77999999999997</v>
      </c>
      <c r="G30" s="100">
        <f t="shared" si="6"/>
        <v>96074.605999999985</v>
      </c>
      <c r="H30" s="171">
        <f>-E31</f>
        <v>-65.396480000000011</v>
      </c>
      <c r="I30" s="172">
        <f t="shared" ref="I30:I32" si="8">F30</f>
        <v>257.77999999999997</v>
      </c>
      <c r="J30" s="103">
        <f t="shared" si="2"/>
        <v>-16857.904614400002</v>
      </c>
      <c r="K30" s="104">
        <f t="shared" si="7"/>
        <v>307.30351999999999</v>
      </c>
      <c r="L30" s="105">
        <f t="shared" si="3"/>
        <v>257.77999999999997</v>
      </c>
      <c r="M30" s="106">
        <f t="shared" si="4"/>
        <v>79216.701385599983</v>
      </c>
    </row>
    <row r="31" spans="1:13" ht="22.5" x14ac:dyDescent="0.25">
      <c r="A31" s="165"/>
      <c r="B31" s="166"/>
      <c r="C31" s="173" t="s">
        <v>295</v>
      </c>
      <c r="D31" s="168"/>
      <c r="E31" s="173">
        <f>510.91*0.128</f>
        <v>65.396480000000011</v>
      </c>
      <c r="F31" s="170"/>
      <c r="G31" s="100"/>
      <c r="H31" s="171"/>
      <c r="I31" s="172"/>
      <c r="J31" s="103" t="str">
        <f t="shared" si="2"/>
        <v/>
      </c>
      <c r="K31" s="104"/>
      <c r="L31" s="105"/>
      <c r="M31" s="106"/>
    </row>
    <row r="32" spans="1:13" ht="30" x14ac:dyDescent="0.25">
      <c r="A32" s="165" t="s">
        <v>297</v>
      </c>
      <c r="B32" s="166" t="s">
        <v>260</v>
      </c>
      <c r="C32" s="167" t="s">
        <v>261</v>
      </c>
      <c r="D32" s="168" t="s">
        <v>192</v>
      </c>
      <c r="E32" s="169">
        <v>982.30944999999997</v>
      </c>
      <c r="F32" s="170">
        <v>40.770000000000003</v>
      </c>
      <c r="G32" s="100">
        <f t="shared" si="6"/>
        <v>40048.756276500004</v>
      </c>
      <c r="H32" s="171">
        <f>-E33</f>
        <v>-65.396480000000011</v>
      </c>
      <c r="I32" s="172">
        <f t="shared" si="8"/>
        <v>40.770000000000003</v>
      </c>
      <c r="J32" s="103">
        <f t="shared" si="2"/>
        <v>-2666.2144896000004</v>
      </c>
      <c r="K32" s="104">
        <f t="shared" si="7"/>
        <v>916.91296999999997</v>
      </c>
      <c r="L32" s="105">
        <f t="shared" si="3"/>
        <v>40.770000000000003</v>
      </c>
      <c r="M32" s="106">
        <f t="shared" si="4"/>
        <v>37382.541786900001</v>
      </c>
    </row>
    <row r="33" spans="1:13" ht="22.5" x14ac:dyDescent="0.25">
      <c r="A33" s="165"/>
      <c r="B33" s="166"/>
      <c r="C33" s="173" t="s">
        <v>295</v>
      </c>
      <c r="D33" s="168"/>
      <c r="E33" s="173">
        <f>510.91*0.128</f>
        <v>65.396480000000011</v>
      </c>
      <c r="F33" s="170"/>
      <c r="G33" s="100" t="str">
        <f t="shared" si="6"/>
        <v/>
      </c>
      <c r="H33" s="171"/>
      <c r="I33" s="172"/>
      <c r="J33" s="103"/>
      <c r="K33" s="104"/>
      <c r="L33" s="105"/>
      <c r="M33" s="106"/>
    </row>
    <row r="34" spans="1:13" ht="30" x14ac:dyDescent="0.25">
      <c r="A34" s="165" t="s">
        <v>298</v>
      </c>
      <c r="B34" s="166" t="s">
        <v>263</v>
      </c>
      <c r="C34" s="167" t="s">
        <v>261</v>
      </c>
      <c r="D34" s="168" t="s">
        <v>192</v>
      </c>
      <c r="E34" s="169">
        <v>982.3</v>
      </c>
      <c r="F34" s="170">
        <v>154.08000000000001</v>
      </c>
      <c r="G34" s="100">
        <f t="shared" si="6"/>
        <v>151352.78400000001</v>
      </c>
      <c r="H34" s="171">
        <f>-E35</f>
        <v>-65.396480000000011</v>
      </c>
      <c r="I34" s="172">
        <f t="shared" ref="I34" si="9">F34</f>
        <v>154.08000000000001</v>
      </c>
      <c r="J34" s="103">
        <f t="shared" ref="J34" si="10">IF(ISBLANK(I34),"",(H34*I34))</f>
        <v>-10076.289638400003</v>
      </c>
      <c r="K34" s="104">
        <f t="shared" si="7"/>
        <v>916.90351999999996</v>
      </c>
      <c r="L34" s="105">
        <f t="shared" ref="L34" si="11">F34</f>
        <v>154.08000000000001</v>
      </c>
      <c r="M34" s="106">
        <f t="shared" ref="M34" si="12">IF(ISBLANK(L34),"",(K34*L34))</f>
        <v>141276.49436159999</v>
      </c>
    </row>
    <row r="35" spans="1:13" ht="22.5" x14ac:dyDescent="0.25">
      <c r="A35" s="174"/>
      <c r="B35" s="174"/>
      <c r="C35" s="173" t="s">
        <v>295</v>
      </c>
      <c r="D35" s="168"/>
      <c r="E35" s="173">
        <f>510.91*0.128</f>
        <v>65.396480000000011</v>
      </c>
      <c r="F35" s="175"/>
      <c r="G35" s="100"/>
      <c r="H35" s="171"/>
      <c r="I35" s="172"/>
      <c r="J35" s="103"/>
      <c r="K35" s="104"/>
      <c r="L35" s="105"/>
      <c r="M35" s="106"/>
    </row>
    <row r="36" spans="1:13" x14ac:dyDescent="0.25">
      <c r="A36" s="114"/>
      <c r="B36" s="114"/>
      <c r="C36" s="173"/>
      <c r="D36" s="114"/>
      <c r="E36" s="115"/>
      <c r="F36" s="114"/>
      <c r="G36" s="116">
        <f>SUBTOTAL(9,G18:G34)</f>
        <v>957288.35227650008</v>
      </c>
      <c r="H36" s="159"/>
      <c r="I36" s="160"/>
      <c r="J36" s="103">
        <f>SUBTOTAL(9,J18:J34)</f>
        <v>-567212.02160159999</v>
      </c>
      <c r="K36" s="161"/>
      <c r="L36" s="162"/>
      <c r="M36" s="154">
        <f>SUBTOTAL(9,M18:M34)</f>
        <v>390076.33067489997</v>
      </c>
    </row>
    <row r="38" spans="1:13" x14ac:dyDescent="0.25">
      <c r="A38" s="270" t="s">
        <v>299</v>
      </c>
      <c r="B38" s="271"/>
      <c r="C38" s="271"/>
      <c r="D38" s="271"/>
      <c r="E38" s="68"/>
      <c r="F38" s="155"/>
      <c r="G38" s="69"/>
      <c r="H38" s="70"/>
      <c r="I38" s="71"/>
      <c r="J38" s="156"/>
      <c r="K38" s="157"/>
      <c r="L38" s="157"/>
      <c r="M38" s="158"/>
    </row>
    <row r="39" spans="1:13" x14ac:dyDescent="0.25">
      <c r="A39" s="41"/>
      <c r="B39" s="75"/>
      <c r="C39" s="75"/>
      <c r="D39" s="75"/>
      <c r="E39" s="68"/>
      <c r="F39" s="155"/>
      <c r="G39" s="69"/>
      <c r="H39" s="70"/>
      <c r="I39" s="71"/>
      <c r="J39" s="156"/>
      <c r="K39" s="157"/>
      <c r="L39" s="157"/>
      <c r="M39" s="158"/>
    </row>
    <row r="40" spans="1:13" ht="15.75" x14ac:dyDescent="0.25">
      <c r="A40" s="76" t="s">
        <v>48</v>
      </c>
      <c r="B40" s="77" t="s">
        <v>282</v>
      </c>
      <c r="C40" s="75"/>
      <c r="D40" s="75"/>
      <c r="E40" s="179" t="s">
        <v>50</v>
      </c>
      <c r="F40" s="179"/>
      <c r="G40" s="179"/>
      <c r="H40" s="180" t="s">
        <v>51</v>
      </c>
      <c r="I40" s="180"/>
      <c r="J40" s="180"/>
      <c r="K40" s="181" t="s">
        <v>16</v>
      </c>
      <c r="L40" s="181"/>
      <c r="M40" s="181"/>
    </row>
    <row r="41" spans="1:13" ht="24" x14ac:dyDescent="0.25">
      <c r="A41" s="78" t="s">
        <v>52</v>
      </c>
      <c r="B41" s="79" t="s">
        <v>53</v>
      </c>
      <c r="C41" s="78" t="s">
        <v>53</v>
      </c>
      <c r="D41" s="79" t="s">
        <v>54</v>
      </c>
      <c r="E41" s="80" t="s">
        <v>55</v>
      </c>
      <c r="F41" s="81" t="s">
        <v>56</v>
      </c>
      <c r="G41" s="82" t="s">
        <v>57</v>
      </c>
      <c r="H41" s="83" t="s">
        <v>55</v>
      </c>
      <c r="I41" s="84" t="s">
        <v>58</v>
      </c>
      <c r="J41" s="85" t="s">
        <v>57</v>
      </c>
      <c r="K41" s="86" t="s">
        <v>55</v>
      </c>
      <c r="L41" s="87" t="s">
        <v>58</v>
      </c>
      <c r="M41" s="88" t="s">
        <v>59</v>
      </c>
    </row>
    <row r="42" spans="1:13" x14ac:dyDescent="0.25">
      <c r="A42" s="89" t="s">
        <v>60</v>
      </c>
      <c r="B42" s="90" t="s">
        <v>61</v>
      </c>
      <c r="C42" s="91"/>
      <c r="D42" s="91"/>
      <c r="E42" s="91"/>
      <c r="F42" s="92"/>
      <c r="G42" s="93"/>
      <c r="H42" s="94"/>
      <c r="I42" s="94"/>
      <c r="J42" s="94"/>
      <c r="K42" s="93"/>
      <c r="L42" s="93"/>
      <c r="M42" s="93"/>
    </row>
    <row r="43" spans="1:13" ht="30" x14ac:dyDescent="0.25">
      <c r="A43" s="165" t="s">
        <v>62</v>
      </c>
      <c r="B43" s="166" t="s">
        <v>174</v>
      </c>
      <c r="C43" s="167" t="s">
        <v>175</v>
      </c>
      <c r="D43" s="168" t="s">
        <v>143</v>
      </c>
      <c r="E43" s="169">
        <v>4.2</v>
      </c>
      <c r="F43" s="170">
        <v>55.24</v>
      </c>
      <c r="G43" s="100">
        <f>IF(ISBLANK(F43),"",(E43*F43))</f>
        <v>232.00800000000001</v>
      </c>
      <c r="H43" s="171">
        <f>-E44</f>
        <v>-2</v>
      </c>
      <c r="I43" s="172">
        <f>F43</f>
        <v>55.24</v>
      </c>
      <c r="J43" s="103">
        <f>IF(ISBLANK(I43),"",(H43*I43))</f>
        <v>-110.48</v>
      </c>
      <c r="K43" s="104">
        <f>E43+H43</f>
        <v>2.2000000000000002</v>
      </c>
      <c r="L43" s="105">
        <f>F43</f>
        <v>55.24</v>
      </c>
      <c r="M43" s="106">
        <f t="shared" ref="M43" si="13">IF(ISBLANK(L43),"",(K43*L43))</f>
        <v>121.52800000000002</v>
      </c>
    </row>
    <row r="44" spans="1:13" x14ac:dyDescent="0.25">
      <c r="A44" s="165"/>
      <c r="B44" s="166"/>
      <c r="C44" s="173" t="s">
        <v>300</v>
      </c>
      <c r="D44" s="168"/>
      <c r="E44" s="176">
        <f>2*1</f>
        <v>2</v>
      </c>
      <c r="F44" s="170"/>
      <c r="G44" s="100"/>
      <c r="H44" s="171"/>
      <c r="I44" s="172"/>
      <c r="J44" s="103"/>
      <c r="K44" s="104"/>
      <c r="L44" s="105"/>
      <c r="M44" s="106"/>
    </row>
    <row r="45" spans="1:13" x14ac:dyDescent="0.25">
      <c r="A45" s="89" t="s">
        <v>173</v>
      </c>
      <c r="B45" s="90" t="s">
        <v>207</v>
      </c>
      <c r="C45" s="91"/>
      <c r="D45" s="91"/>
      <c r="E45" s="91"/>
      <c r="F45" s="92"/>
      <c r="G45" s="93"/>
      <c r="H45" s="93"/>
      <c r="I45" s="93"/>
      <c r="J45" s="93"/>
      <c r="K45" s="93"/>
      <c r="L45" s="93"/>
      <c r="M45" s="93"/>
    </row>
    <row r="46" spans="1:13" ht="30" x14ac:dyDescent="0.25">
      <c r="A46" s="165" t="s">
        <v>301</v>
      </c>
      <c r="B46" s="166" t="s">
        <v>141</v>
      </c>
      <c r="C46" s="167" t="s">
        <v>142</v>
      </c>
      <c r="D46" s="168" t="s">
        <v>143</v>
      </c>
      <c r="E46" s="169">
        <v>355</v>
      </c>
      <c r="F46" s="170">
        <v>23.2</v>
      </c>
      <c r="G46" s="100">
        <f t="shared" ref="G46:G60" si="14">IF(ISBLANK(F46),"",(E46*F46))</f>
        <v>8236</v>
      </c>
      <c r="H46" s="171">
        <f>-E47</f>
        <v>-2.1</v>
      </c>
      <c r="I46" s="172">
        <f t="shared" ref="I46:I60" si="15">F46</f>
        <v>23.2</v>
      </c>
      <c r="J46" s="103">
        <f t="shared" ref="J46:J60" si="16">IF(ISBLANK(I46),"",(H46*I46))</f>
        <v>-48.72</v>
      </c>
      <c r="K46" s="104">
        <f t="shared" ref="K46:K60" si="17">E46+H46</f>
        <v>352.9</v>
      </c>
      <c r="L46" s="105">
        <f t="shared" ref="L46:L60" si="18">F46</f>
        <v>23.2</v>
      </c>
      <c r="M46" s="106">
        <f t="shared" ref="M46:M60" si="19">IF(ISBLANK(L46),"",(K46*L46))</f>
        <v>8187.2799999999988</v>
      </c>
    </row>
    <row r="47" spans="1:13" x14ac:dyDescent="0.25">
      <c r="A47" s="165"/>
      <c r="B47" s="166"/>
      <c r="C47" s="173" t="s">
        <v>302</v>
      </c>
      <c r="D47" s="168"/>
      <c r="E47" s="176">
        <v>2.1</v>
      </c>
      <c r="F47" s="170"/>
      <c r="G47" s="100"/>
      <c r="H47" s="171"/>
      <c r="I47" s="172"/>
      <c r="J47" s="103"/>
      <c r="K47" s="104"/>
      <c r="L47" s="105"/>
      <c r="M47" s="106"/>
    </row>
    <row r="48" spans="1:13" ht="45" x14ac:dyDescent="0.25">
      <c r="A48" s="165" t="s">
        <v>286</v>
      </c>
      <c r="B48" s="166" t="s">
        <v>287</v>
      </c>
      <c r="C48" s="167" t="s">
        <v>288</v>
      </c>
      <c r="D48" s="168" t="s">
        <v>143</v>
      </c>
      <c r="E48" s="169">
        <v>4.2</v>
      </c>
      <c r="F48" s="170">
        <v>396.71</v>
      </c>
      <c r="G48" s="100">
        <f t="shared" si="14"/>
        <v>1666.182</v>
      </c>
      <c r="H48" s="171">
        <f>-E49</f>
        <v>-4.2</v>
      </c>
      <c r="I48" s="172">
        <f t="shared" si="15"/>
        <v>396.71</v>
      </c>
      <c r="J48" s="103">
        <f t="shared" si="16"/>
        <v>-1666.182</v>
      </c>
      <c r="K48" s="104">
        <f t="shared" si="17"/>
        <v>0</v>
      </c>
      <c r="L48" s="105">
        <f t="shared" si="18"/>
        <v>396.71</v>
      </c>
      <c r="M48" s="106">
        <f t="shared" si="19"/>
        <v>0</v>
      </c>
    </row>
    <row r="49" spans="1:13" x14ac:dyDescent="0.25">
      <c r="A49" s="165"/>
      <c r="B49" s="166"/>
      <c r="C49" s="173" t="s">
        <v>303</v>
      </c>
      <c r="D49" s="168"/>
      <c r="E49" s="176">
        <f>2*2.1</f>
        <v>4.2</v>
      </c>
      <c r="F49" s="170"/>
      <c r="G49" s="100"/>
      <c r="H49" s="171"/>
      <c r="I49" s="172"/>
      <c r="J49" s="103"/>
      <c r="K49" s="104"/>
      <c r="L49" s="105"/>
      <c r="M49" s="106"/>
    </row>
    <row r="50" spans="1:13" x14ac:dyDescent="0.25">
      <c r="A50" s="89" t="s">
        <v>176</v>
      </c>
      <c r="B50" s="90" t="s">
        <v>289</v>
      </c>
      <c r="C50" s="91"/>
      <c r="D50" s="91"/>
      <c r="E50" s="91"/>
      <c r="F50" s="92"/>
      <c r="G50" s="93"/>
      <c r="H50" s="93"/>
      <c r="I50" s="93"/>
      <c r="J50" s="93"/>
      <c r="K50" s="93"/>
      <c r="L50" s="93"/>
      <c r="M50" s="93"/>
    </row>
    <row r="51" spans="1:13" ht="30" x14ac:dyDescent="0.25">
      <c r="A51" s="165">
        <v>83</v>
      </c>
      <c r="B51" s="166" t="s">
        <v>290</v>
      </c>
      <c r="C51" s="167" t="s">
        <v>291</v>
      </c>
      <c r="D51" s="168" t="s">
        <v>219</v>
      </c>
      <c r="E51" s="169">
        <v>296.3</v>
      </c>
      <c r="F51" s="170">
        <v>72.34</v>
      </c>
      <c r="G51" s="100">
        <f t="shared" si="14"/>
        <v>21434.342000000001</v>
      </c>
      <c r="H51" s="171">
        <v>-6</v>
      </c>
      <c r="I51" s="172">
        <f t="shared" si="15"/>
        <v>72.34</v>
      </c>
      <c r="J51" s="103">
        <f t="shared" si="16"/>
        <v>-434.04</v>
      </c>
      <c r="K51" s="104">
        <f t="shared" si="17"/>
        <v>290.3</v>
      </c>
      <c r="L51" s="105">
        <f t="shared" si="18"/>
        <v>72.34</v>
      </c>
      <c r="M51" s="106">
        <f t="shared" si="19"/>
        <v>21000.302000000003</v>
      </c>
    </row>
    <row r="52" spans="1:13" ht="30" x14ac:dyDescent="0.25">
      <c r="A52" s="165" t="s">
        <v>304</v>
      </c>
      <c r="B52" s="166" t="s">
        <v>245</v>
      </c>
      <c r="C52" s="167" t="s">
        <v>246</v>
      </c>
      <c r="D52" s="168" t="s">
        <v>219</v>
      </c>
      <c r="E52" s="169">
        <v>296.3</v>
      </c>
      <c r="F52" s="170">
        <v>87.65</v>
      </c>
      <c r="G52" s="100">
        <f t="shared" si="14"/>
        <v>25970.695000000003</v>
      </c>
      <c r="H52" s="171">
        <v>-4</v>
      </c>
      <c r="I52" s="172">
        <f t="shared" si="15"/>
        <v>87.65</v>
      </c>
      <c r="J52" s="103">
        <f t="shared" si="16"/>
        <v>-350.6</v>
      </c>
      <c r="K52" s="104">
        <f t="shared" si="17"/>
        <v>292.3</v>
      </c>
      <c r="L52" s="105">
        <f t="shared" si="18"/>
        <v>87.65</v>
      </c>
      <c r="M52" s="106">
        <f t="shared" si="19"/>
        <v>25620.095000000001</v>
      </c>
    </row>
    <row r="53" spans="1:13" x14ac:dyDescent="0.25">
      <c r="A53" s="89" t="s">
        <v>293</v>
      </c>
      <c r="B53" s="90" t="s">
        <v>294</v>
      </c>
      <c r="C53" s="91"/>
      <c r="D53" s="91"/>
      <c r="E53" s="91"/>
      <c r="F53" s="92"/>
      <c r="G53" s="92"/>
      <c r="H53" s="92"/>
      <c r="I53" s="93"/>
      <c r="J53" s="93"/>
      <c r="K53" s="93"/>
      <c r="L53" s="93"/>
      <c r="M53" s="93"/>
    </row>
    <row r="54" spans="1:13" ht="30" x14ac:dyDescent="0.25">
      <c r="A54" s="165" t="s">
        <v>237</v>
      </c>
      <c r="B54" s="166" t="s">
        <v>248</v>
      </c>
      <c r="C54" s="167" t="s">
        <v>249</v>
      </c>
      <c r="D54" s="168" t="s">
        <v>192</v>
      </c>
      <c r="E54" s="169">
        <v>218.1</v>
      </c>
      <c r="F54" s="170">
        <v>51.29</v>
      </c>
      <c r="G54" s="100">
        <f t="shared" si="14"/>
        <v>11186.349</v>
      </c>
      <c r="H54" s="171">
        <f>-E55</f>
        <v>-0.25600000000000001</v>
      </c>
      <c r="I54" s="172">
        <f t="shared" si="15"/>
        <v>51.29</v>
      </c>
      <c r="J54" s="103">
        <f t="shared" si="16"/>
        <v>-13.130240000000001</v>
      </c>
      <c r="K54" s="104">
        <f t="shared" si="17"/>
        <v>217.84399999999999</v>
      </c>
      <c r="L54" s="105">
        <f t="shared" si="18"/>
        <v>51.29</v>
      </c>
      <c r="M54" s="106">
        <f t="shared" si="19"/>
        <v>11173.21876</v>
      </c>
    </row>
    <row r="55" spans="1:13" x14ac:dyDescent="0.25">
      <c r="A55" s="165"/>
      <c r="B55" s="166"/>
      <c r="C55" s="173" t="s">
        <v>305</v>
      </c>
      <c r="D55" s="168"/>
      <c r="E55" s="173">
        <f>2*0.128</f>
        <v>0.25600000000000001</v>
      </c>
      <c r="F55" s="170"/>
      <c r="G55" s="100"/>
      <c r="H55" s="171"/>
      <c r="I55" s="172"/>
      <c r="J55" s="103"/>
      <c r="K55" s="104"/>
      <c r="L55" s="105"/>
      <c r="M55" s="106"/>
    </row>
    <row r="56" spans="1:13" ht="45" x14ac:dyDescent="0.25">
      <c r="A56" s="165" t="s">
        <v>241</v>
      </c>
      <c r="B56" s="166" t="s">
        <v>251</v>
      </c>
      <c r="C56" s="167" t="s">
        <v>252</v>
      </c>
      <c r="D56" s="168" t="s">
        <v>192</v>
      </c>
      <c r="E56" s="169">
        <v>93.7</v>
      </c>
      <c r="F56" s="170">
        <v>257.77999999999997</v>
      </c>
      <c r="G56" s="100">
        <f t="shared" si="14"/>
        <v>24153.985999999997</v>
      </c>
      <c r="H56" s="171">
        <f>-E57</f>
        <v>-0.25600000000000001</v>
      </c>
      <c r="I56" s="172">
        <f t="shared" si="15"/>
        <v>257.77999999999997</v>
      </c>
      <c r="J56" s="103">
        <f t="shared" si="16"/>
        <v>-65.991679999999988</v>
      </c>
      <c r="K56" s="104">
        <f t="shared" si="17"/>
        <v>93.444000000000003</v>
      </c>
      <c r="L56" s="105">
        <f t="shared" si="18"/>
        <v>257.77999999999997</v>
      </c>
      <c r="M56" s="106">
        <f t="shared" si="19"/>
        <v>24087.994319999998</v>
      </c>
    </row>
    <row r="57" spans="1:13" x14ac:dyDescent="0.25">
      <c r="A57" s="165"/>
      <c r="B57" s="166"/>
      <c r="C57" s="173" t="s">
        <v>305</v>
      </c>
      <c r="D57" s="168"/>
      <c r="E57" s="173">
        <f>2*0.128</f>
        <v>0.25600000000000001</v>
      </c>
      <c r="F57" s="170"/>
      <c r="G57" s="100"/>
      <c r="H57" s="171"/>
      <c r="I57" s="172"/>
      <c r="J57" s="103"/>
      <c r="K57" s="104"/>
      <c r="L57" s="105"/>
      <c r="M57" s="106"/>
    </row>
    <row r="58" spans="1:13" ht="30" x14ac:dyDescent="0.25">
      <c r="A58" s="165" t="s">
        <v>253</v>
      </c>
      <c r="B58" s="166" t="s">
        <v>260</v>
      </c>
      <c r="C58" s="167" t="s">
        <v>261</v>
      </c>
      <c r="D58" s="168" t="s">
        <v>192</v>
      </c>
      <c r="E58" s="169">
        <v>218.0898</v>
      </c>
      <c r="F58" s="170">
        <v>40.770000000000003</v>
      </c>
      <c r="G58" s="100">
        <f t="shared" si="14"/>
        <v>8891.521146000001</v>
      </c>
      <c r="H58" s="171">
        <f>-E59</f>
        <v>-0.25600000000000001</v>
      </c>
      <c r="I58" s="172">
        <f t="shared" si="15"/>
        <v>40.770000000000003</v>
      </c>
      <c r="J58" s="103">
        <f t="shared" si="16"/>
        <v>-10.43712</v>
      </c>
      <c r="K58" s="104">
        <f t="shared" si="17"/>
        <v>217.8338</v>
      </c>
      <c r="L58" s="105">
        <f t="shared" si="18"/>
        <v>40.770000000000003</v>
      </c>
      <c r="M58" s="106">
        <f t="shared" si="19"/>
        <v>8881.0840260000004</v>
      </c>
    </row>
    <row r="59" spans="1:13" x14ac:dyDescent="0.25">
      <c r="A59" s="165"/>
      <c r="B59" s="166"/>
      <c r="C59" s="173" t="s">
        <v>305</v>
      </c>
      <c r="D59" s="168"/>
      <c r="E59" s="173">
        <f>2*0.128</f>
        <v>0.25600000000000001</v>
      </c>
      <c r="F59" s="170"/>
      <c r="G59" s="100"/>
      <c r="H59" s="171"/>
      <c r="I59" s="172"/>
      <c r="J59" s="103"/>
      <c r="K59" s="104"/>
      <c r="L59" s="105"/>
      <c r="M59" s="106"/>
    </row>
    <row r="60" spans="1:13" ht="30" x14ac:dyDescent="0.25">
      <c r="A60" s="165" t="s">
        <v>256</v>
      </c>
      <c r="B60" s="166" t="s">
        <v>263</v>
      </c>
      <c r="C60" s="167" t="s">
        <v>261</v>
      </c>
      <c r="D60" s="168" t="s">
        <v>192</v>
      </c>
      <c r="E60" s="169">
        <v>218.1</v>
      </c>
      <c r="F60" s="170">
        <v>207.66</v>
      </c>
      <c r="G60" s="100">
        <f t="shared" si="14"/>
        <v>45290.646000000001</v>
      </c>
      <c r="H60" s="171">
        <f>-E61</f>
        <v>-0.25600000000000001</v>
      </c>
      <c r="I60" s="172">
        <f t="shared" si="15"/>
        <v>207.66</v>
      </c>
      <c r="J60" s="103">
        <f t="shared" si="16"/>
        <v>-53.160960000000003</v>
      </c>
      <c r="K60" s="104">
        <f t="shared" si="17"/>
        <v>217.84399999999999</v>
      </c>
      <c r="L60" s="105">
        <f t="shared" si="18"/>
        <v>207.66</v>
      </c>
      <c r="M60" s="106">
        <f t="shared" si="19"/>
        <v>45237.48504</v>
      </c>
    </row>
    <row r="61" spans="1:13" x14ac:dyDescent="0.25">
      <c r="A61" s="165"/>
      <c r="B61" s="166"/>
      <c r="C61" s="173" t="s">
        <v>305</v>
      </c>
      <c r="D61" s="168"/>
      <c r="E61" s="173">
        <f>2*0.128</f>
        <v>0.25600000000000001</v>
      </c>
      <c r="F61" s="170"/>
      <c r="G61" s="100"/>
      <c r="H61" s="171"/>
      <c r="I61" s="172"/>
      <c r="J61" s="103"/>
      <c r="K61" s="104"/>
      <c r="L61" s="105"/>
      <c r="M61" s="106"/>
    </row>
    <row r="62" spans="1:13" x14ac:dyDescent="0.25">
      <c r="A62" s="174"/>
      <c r="B62" s="174"/>
      <c r="C62" s="177"/>
      <c r="D62" s="164"/>
      <c r="E62" s="178"/>
      <c r="F62" s="175"/>
      <c r="G62" s="116"/>
      <c r="H62" s="159"/>
      <c r="I62" s="160"/>
      <c r="J62" s="103"/>
      <c r="K62" s="161"/>
      <c r="L62" s="162"/>
      <c r="M62" s="154"/>
    </row>
    <row r="63" spans="1:13" ht="15.75" x14ac:dyDescent="0.25">
      <c r="A63" s="121"/>
      <c r="B63" s="122"/>
      <c r="C63" s="123"/>
      <c r="D63" s="121"/>
      <c r="E63" s="124"/>
      <c r="F63" s="125"/>
      <c r="G63" s="116">
        <f>SUBTOTAL(9,G43:G60)</f>
        <v>147061.729146</v>
      </c>
      <c r="H63" s="127"/>
      <c r="I63" s="128"/>
      <c r="J63" s="103">
        <f>SUBTOTAL(9,J43:J60)</f>
        <v>-2752.7420000000002</v>
      </c>
      <c r="K63" s="130"/>
      <c r="L63" s="130"/>
      <c r="M63" s="154">
        <f>SUBTOTAL(9,M43:M60)</f>
        <v>144308.987146</v>
      </c>
    </row>
    <row r="65" spans="1:13" x14ac:dyDescent="0.25">
      <c r="A65" s="270" t="s">
        <v>306</v>
      </c>
      <c r="B65" s="271"/>
      <c r="C65" s="271"/>
      <c r="D65" s="271"/>
      <c r="E65" s="68"/>
      <c r="F65" s="155"/>
      <c r="G65" s="69"/>
      <c r="H65" s="70"/>
      <c r="I65" s="71"/>
      <c r="J65" s="156"/>
      <c r="K65" s="157"/>
      <c r="L65" s="157"/>
      <c r="M65" s="158"/>
    </row>
    <row r="66" spans="1:13" x14ac:dyDescent="0.25">
      <c r="A66" s="41"/>
      <c r="B66" s="75"/>
      <c r="C66" s="75"/>
      <c r="D66" s="75"/>
      <c r="E66" s="68"/>
      <c r="F66" s="155"/>
      <c r="G66" s="69"/>
      <c r="H66" s="70"/>
      <c r="I66" s="71"/>
      <c r="J66" s="156"/>
      <c r="K66" s="157"/>
      <c r="L66" s="157"/>
      <c r="M66" s="158"/>
    </row>
    <row r="67" spans="1:13" ht="15.75" x14ac:dyDescent="0.25">
      <c r="A67" s="76" t="s">
        <v>48</v>
      </c>
      <c r="B67" s="77" t="s">
        <v>282</v>
      </c>
      <c r="C67" s="75"/>
      <c r="D67" s="75"/>
      <c r="E67" s="265" t="s">
        <v>50</v>
      </c>
      <c r="F67" s="265"/>
      <c r="G67" s="265"/>
      <c r="H67" s="266" t="s">
        <v>51</v>
      </c>
      <c r="I67" s="266"/>
      <c r="J67" s="266"/>
      <c r="K67" s="267" t="s">
        <v>16</v>
      </c>
      <c r="L67" s="267"/>
      <c r="M67" s="267"/>
    </row>
    <row r="68" spans="1:13" ht="24" x14ac:dyDescent="0.25">
      <c r="A68" s="78" t="s">
        <v>52</v>
      </c>
      <c r="B68" s="79" t="s">
        <v>53</v>
      </c>
      <c r="C68" s="78" t="s">
        <v>53</v>
      </c>
      <c r="D68" s="79" t="s">
        <v>54</v>
      </c>
      <c r="E68" s="80" t="s">
        <v>55</v>
      </c>
      <c r="F68" s="81" t="s">
        <v>56</v>
      </c>
      <c r="G68" s="82" t="s">
        <v>57</v>
      </c>
      <c r="H68" s="83" t="s">
        <v>55</v>
      </c>
      <c r="I68" s="84" t="s">
        <v>58</v>
      </c>
      <c r="J68" s="85" t="s">
        <v>57</v>
      </c>
      <c r="K68" s="86" t="s">
        <v>55</v>
      </c>
      <c r="L68" s="87" t="s">
        <v>58</v>
      </c>
      <c r="M68" s="88" t="s">
        <v>59</v>
      </c>
    </row>
    <row r="69" spans="1:13" x14ac:dyDescent="0.25">
      <c r="A69" s="89" t="s">
        <v>60</v>
      </c>
      <c r="B69" s="90" t="s">
        <v>61</v>
      </c>
      <c r="C69" s="91"/>
      <c r="D69" s="91"/>
      <c r="E69" s="91"/>
      <c r="F69" s="92"/>
      <c r="G69" s="93"/>
      <c r="H69" s="94"/>
      <c r="I69" s="94"/>
      <c r="J69" s="94"/>
      <c r="K69" s="93"/>
      <c r="L69" s="93"/>
      <c r="M69" s="93"/>
    </row>
    <row r="70" spans="1:13" ht="30" x14ac:dyDescent="0.25">
      <c r="A70" s="165" t="s">
        <v>173</v>
      </c>
      <c r="B70" s="166" t="s">
        <v>174</v>
      </c>
      <c r="C70" s="167" t="s">
        <v>175</v>
      </c>
      <c r="D70" s="168" t="s">
        <v>143</v>
      </c>
      <c r="E70" s="169">
        <v>11.6</v>
      </c>
      <c r="F70" s="170">
        <v>55.24</v>
      </c>
      <c r="G70" s="100">
        <f>IF(ISBLANK(F70),"",(E70*F70))</f>
        <v>640.78399999999999</v>
      </c>
      <c r="H70" s="171">
        <f>-E71</f>
        <v>-5.52</v>
      </c>
      <c r="I70" s="172">
        <f>F70</f>
        <v>55.24</v>
      </c>
      <c r="J70" s="103">
        <f>IF(ISBLANK(I70),"",(H70*I70))</f>
        <v>-304.9248</v>
      </c>
      <c r="K70" s="104">
        <f>E70+H70</f>
        <v>6.08</v>
      </c>
      <c r="L70" s="105">
        <f>F70</f>
        <v>55.24</v>
      </c>
      <c r="M70" s="106">
        <f t="shared" ref="M70" si="20">IF(ISBLANK(L70),"",(K70*L70))</f>
        <v>335.85920000000004</v>
      </c>
    </row>
    <row r="71" spans="1:13" x14ac:dyDescent="0.25">
      <c r="A71" s="165"/>
      <c r="B71" s="166"/>
      <c r="C71" s="173" t="s">
        <v>307</v>
      </c>
      <c r="D71" s="168"/>
      <c r="E71" s="176">
        <f>5.52*1</f>
        <v>5.52</v>
      </c>
      <c r="F71" s="170"/>
      <c r="G71" s="100"/>
      <c r="H71" s="171"/>
      <c r="I71" s="172"/>
      <c r="J71" s="103"/>
      <c r="K71" s="104"/>
      <c r="L71" s="105"/>
      <c r="M71" s="106"/>
    </row>
    <row r="72" spans="1:13" x14ac:dyDescent="0.25">
      <c r="A72" s="89" t="s">
        <v>293</v>
      </c>
      <c r="B72" s="90" t="s">
        <v>294</v>
      </c>
      <c r="C72" s="91"/>
      <c r="D72" s="91"/>
      <c r="E72" s="91"/>
      <c r="F72" s="92"/>
      <c r="G72" s="92"/>
      <c r="H72" s="92"/>
      <c r="I72" s="92"/>
      <c r="J72" s="92"/>
      <c r="K72" s="92"/>
      <c r="L72" s="92"/>
      <c r="M72" s="92"/>
    </row>
    <row r="73" spans="1:13" ht="30" x14ac:dyDescent="0.25">
      <c r="A73" s="165" t="s">
        <v>308</v>
      </c>
      <c r="B73" s="166" t="s">
        <v>248</v>
      </c>
      <c r="C73" s="167" t="s">
        <v>249</v>
      </c>
      <c r="D73" s="168" t="s">
        <v>192</v>
      </c>
      <c r="E73" s="169">
        <v>9.1</v>
      </c>
      <c r="F73" s="170">
        <v>51.29</v>
      </c>
      <c r="G73" s="100">
        <f t="shared" ref="G73:G79" si="21">IF(ISBLANK(F73),"",(E73*F73))</f>
        <v>466.73899999999998</v>
      </c>
      <c r="H73" s="171">
        <f>-E74</f>
        <v>-0.70655999999999997</v>
      </c>
      <c r="I73" s="172">
        <f t="shared" ref="I73:I79" si="22">F73</f>
        <v>51.29</v>
      </c>
      <c r="J73" s="103">
        <f t="shared" ref="J73:J79" si="23">IF(ISBLANK(I73),"",(H73*I73))</f>
        <v>-36.239462400000001</v>
      </c>
      <c r="K73" s="104">
        <f t="shared" ref="K73:K79" si="24">E73+H73</f>
        <v>8.39344</v>
      </c>
      <c r="L73" s="105">
        <f t="shared" ref="L73:L79" si="25">F73</f>
        <v>51.29</v>
      </c>
      <c r="M73" s="106">
        <f t="shared" ref="M73:M79" si="26">IF(ISBLANK(L73),"",(K73*L73))</f>
        <v>430.4995376</v>
      </c>
    </row>
    <row r="74" spans="1:13" ht="22.5" x14ac:dyDescent="0.25">
      <c r="A74" s="165"/>
      <c r="B74" s="166"/>
      <c r="C74" s="173" t="s">
        <v>309</v>
      </c>
      <c r="D74" s="168"/>
      <c r="E74" s="173">
        <f>5.52*0.128</f>
        <v>0.70655999999999997</v>
      </c>
      <c r="F74" s="170"/>
      <c r="G74" s="100"/>
      <c r="H74" s="171"/>
      <c r="I74" s="172"/>
      <c r="J74" s="103"/>
      <c r="K74" s="104"/>
      <c r="L74" s="105"/>
      <c r="M74" s="106"/>
    </row>
    <row r="75" spans="1:13" ht="45" x14ac:dyDescent="0.25">
      <c r="A75" s="165" t="s">
        <v>310</v>
      </c>
      <c r="B75" s="166" t="s">
        <v>251</v>
      </c>
      <c r="C75" s="167" t="s">
        <v>252</v>
      </c>
      <c r="D75" s="168" t="s">
        <v>192</v>
      </c>
      <c r="E75" s="169">
        <v>2.8</v>
      </c>
      <c r="F75" s="170">
        <v>257.77999999999997</v>
      </c>
      <c r="G75" s="100">
        <f t="shared" si="21"/>
        <v>721.78399999999988</v>
      </c>
      <c r="H75" s="171">
        <f>-E76</f>
        <v>-0.70655999999999997</v>
      </c>
      <c r="I75" s="172">
        <f t="shared" si="22"/>
        <v>257.77999999999997</v>
      </c>
      <c r="J75" s="103">
        <f t="shared" si="23"/>
        <v>-182.13703679999998</v>
      </c>
      <c r="K75" s="104">
        <f t="shared" si="24"/>
        <v>2.0934399999999997</v>
      </c>
      <c r="L75" s="105">
        <f t="shared" si="25"/>
        <v>257.77999999999997</v>
      </c>
      <c r="M75" s="106">
        <f t="shared" si="26"/>
        <v>539.64696319999985</v>
      </c>
    </row>
    <row r="76" spans="1:13" ht="22.5" x14ac:dyDescent="0.25">
      <c r="A76" s="165"/>
      <c r="B76" s="166"/>
      <c r="C76" s="173" t="s">
        <v>309</v>
      </c>
      <c r="D76" s="168"/>
      <c r="E76" s="173">
        <f>5.52*0.128</f>
        <v>0.70655999999999997</v>
      </c>
      <c r="F76" s="170"/>
      <c r="G76" s="100"/>
      <c r="H76" s="171"/>
      <c r="I76" s="172"/>
      <c r="J76" s="103"/>
      <c r="K76" s="104"/>
      <c r="L76" s="105"/>
      <c r="M76" s="106"/>
    </row>
    <row r="77" spans="1:13" ht="30" x14ac:dyDescent="0.25">
      <c r="A77" s="165" t="s">
        <v>231</v>
      </c>
      <c r="B77" s="166" t="s">
        <v>260</v>
      </c>
      <c r="C77" s="167" t="s">
        <v>261</v>
      </c>
      <c r="D77" s="168" t="s">
        <v>192</v>
      </c>
      <c r="E77" s="169">
        <v>9.0568000000000008</v>
      </c>
      <c r="F77" s="170">
        <v>40.770000000000003</v>
      </c>
      <c r="G77" s="100">
        <f t="shared" si="21"/>
        <v>369.24573600000008</v>
      </c>
      <c r="H77" s="171">
        <f>-E78</f>
        <v>-0.70655999999999997</v>
      </c>
      <c r="I77" s="172">
        <f t="shared" si="22"/>
        <v>40.770000000000003</v>
      </c>
      <c r="J77" s="103">
        <f t="shared" si="23"/>
        <v>-28.806451200000001</v>
      </c>
      <c r="K77" s="104">
        <f t="shared" si="24"/>
        <v>8.3502400000000012</v>
      </c>
      <c r="L77" s="105">
        <f t="shared" si="25"/>
        <v>40.770000000000003</v>
      </c>
      <c r="M77" s="106">
        <f t="shared" si="26"/>
        <v>340.43928480000005</v>
      </c>
    </row>
    <row r="78" spans="1:13" ht="22.5" x14ac:dyDescent="0.25">
      <c r="A78" s="165"/>
      <c r="B78" s="166"/>
      <c r="C78" s="173" t="s">
        <v>309</v>
      </c>
      <c r="D78" s="168"/>
      <c r="E78" s="173">
        <f>5.52*0.128</f>
        <v>0.70655999999999997</v>
      </c>
      <c r="F78" s="170"/>
      <c r="G78" s="100"/>
      <c r="H78" s="171"/>
      <c r="I78" s="172"/>
      <c r="J78" s="103"/>
      <c r="K78" s="104"/>
      <c r="L78" s="105"/>
      <c r="M78" s="106"/>
    </row>
    <row r="79" spans="1:13" ht="30" x14ac:dyDescent="0.25">
      <c r="A79" s="165" t="s">
        <v>234</v>
      </c>
      <c r="B79" s="166" t="s">
        <v>263</v>
      </c>
      <c r="C79" s="167" t="s">
        <v>261</v>
      </c>
      <c r="D79" s="168" t="s">
        <v>192</v>
      </c>
      <c r="E79" s="169">
        <v>9.1</v>
      </c>
      <c r="F79" s="170">
        <v>139.24</v>
      </c>
      <c r="G79" s="100">
        <f t="shared" si="21"/>
        <v>1267.0840000000001</v>
      </c>
      <c r="H79" s="171">
        <f>-E80</f>
        <v>-0.70655999999999997</v>
      </c>
      <c r="I79" s="172">
        <f t="shared" si="22"/>
        <v>139.24</v>
      </c>
      <c r="J79" s="103">
        <f t="shared" si="23"/>
        <v>-98.381414399999997</v>
      </c>
      <c r="K79" s="104">
        <f t="shared" si="24"/>
        <v>8.39344</v>
      </c>
      <c r="L79" s="105">
        <f t="shared" si="25"/>
        <v>139.24</v>
      </c>
      <c r="M79" s="106">
        <f t="shared" si="26"/>
        <v>1168.7025856</v>
      </c>
    </row>
    <row r="80" spans="1:13" ht="22.5" x14ac:dyDescent="0.25">
      <c r="A80" s="165"/>
      <c r="B80" s="166"/>
      <c r="C80" s="173" t="s">
        <v>309</v>
      </c>
      <c r="D80" s="168"/>
      <c r="E80" s="173">
        <f>5.52*0.128</f>
        <v>0.70655999999999997</v>
      </c>
      <c r="F80" s="170"/>
      <c r="G80" s="100"/>
      <c r="H80" s="171"/>
      <c r="I80" s="172"/>
      <c r="J80" s="103"/>
      <c r="K80" s="104"/>
      <c r="L80" s="105"/>
      <c r="M80" s="106"/>
    </row>
    <row r="81" spans="1:13" x14ac:dyDescent="0.25">
      <c r="A81" s="174"/>
      <c r="B81" s="174"/>
      <c r="C81" s="177"/>
      <c r="D81" s="164"/>
      <c r="E81" s="178"/>
      <c r="F81" s="175"/>
      <c r="G81" s="116"/>
      <c r="H81" s="159"/>
      <c r="I81" s="160"/>
      <c r="J81" s="103"/>
      <c r="K81" s="161"/>
      <c r="L81" s="162"/>
      <c r="M81" s="154"/>
    </row>
    <row r="82" spans="1:13" ht="15.75" x14ac:dyDescent="0.25">
      <c r="A82" s="121"/>
      <c r="B82" s="122"/>
      <c r="C82" s="123"/>
      <c r="D82" s="121"/>
      <c r="E82" s="124"/>
      <c r="F82" s="125"/>
      <c r="G82" s="116">
        <f>SUBTOTAL(9,G70:G79)</f>
        <v>3465.6367359999995</v>
      </c>
      <c r="H82" s="127"/>
      <c r="I82" s="128"/>
      <c r="J82" s="103">
        <f>SUBTOTAL(9,J70:J79)</f>
        <v>-650.48916479999991</v>
      </c>
      <c r="K82" s="130"/>
      <c r="L82" s="130"/>
      <c r="M82" s="154">
        <f>SUBTOTAL(9,M70:M79)</f>
        <v>2815.1475712000001</v>
      </c>
    </row>
    <row r="84" spans="1:13" x14ac:dyDescent="0.25">
      <c r="A84" s="270" t="s">
        <v>311</v>
      </c>
      <c r="B84" s="271"/>
      <c r="C84" s="271"/>
      <c r="D84" s="271"/>
      <c r="E84" s="68"/>
      <c r="F84" s="155"/>
      <c r="G84" s="69"/>
      <c r="H84" s="70"/>
      <c r="I84" s="71"/>
      <c r="J84" s="156"/>
      <c r="K84" s="157"/>
      <c r="L84" s="157"/>
      <c r="M84" s="158"/>
    </row>
    <row r="85" spans="1:13" x14ac:dyDescent="0.25">
      <c r="A85" s="41"/>
      <c r="B85" s="75"/>
      <c r="C85" s="75"/>
      <c r="D85" s="75"/>
      <c r="E85" s="68"/>
      <c r="F85" s="155"/>
      <c r="G85" s="69"/>
      <c r="H85" s="70"/>
      <c r="I85" s="71"/>
      <c r="J85" s="156"/>
      <c r="K85" s="157"/>
      <c r="L85" s="157"/>
      <c r="M85" s="158"/>
    </row>
    <row r="86" spans="1:13" ht="15.75" x14ac:dyDescent="0.25">
      <c r="A86" s="76" t="s">
        <v>48</v>
      </c>
      <c r="B86" s="77" t="s">
        <v>282</v>
      </c>
      <c r="C86" s="75"/>
      <c r="D86" s="75"/>
      <c r="E86" s="265" t="s">
        <v>50</v>
      </c>
      <c r="F86" s="265"/>
      <c r="G86" s="265"/>
      <c r="H86" s="266" t="s">
        <v>51</v>
      </c>
      <c r="I86" s="266"/>
      <c r="J86" s="266"/>
      <c r="K86" s="267" t="s">
        <v>16</v>
      </c>
      <c r="L86" s="267"/>
      <c r="M86" s="267"/>
    </row>
    <row r="87" spans="1:13" ht="24" x14ac:dyDescent="0.25">
      <c r="A87" s="78" t="s">
        <v>52</v>
      </c>
      <c r="B87" s="79" t="s">
        <v>53</v>
      </c>
      <c r="C87" s="78" t="s">
        <v>53</v>
      </c>
      <c r="D87" s="79" t="s">
        <v>54</v>
      </c>
      <c r="E87" s="80" t="s">
        <v>55</v>
      </c>
      <c r="F87" s="81" t="s">
        <v>56</v>
      </c>
      <c r="G87" s="82" t="s">
        <v>57</v>
      </c>
      <c r="H87" s="83" t="s">
        <v>55</v>
      </c>
      <c r="I87" s="84" t="s">
        <v>58</v>
      </c>
      <c r="J87" s="85" t="s">
        <v>57</v>
      </c>
      <c r="K87" s="86" t="s">
        <v>55</v>
      </c>
      <c r="L87" s="87" t="s">
        <v>58</v>
      </c>
      <c r="M87" s="88" t="s">
        <v>59</v>
      </c>
    </row>
    <row r="88" spans="1:13" x14ac:dyDescent="0.25">
      <c r="A88" s="89" t="s">
        <v>60</v>
      </c>
      <c r="B88" s="90" t="s">
        <v>61</v>
      </c>
      <c r="C88" s="91"/>
      <c r="D88" s="91"/>
      <c r="E88" s="91"/>
      <c r="F88" s="92"/>
      <c r="G88" s="93"/>
      <c r="H88" s="94"/>
      <c r="I88" s="94"/>
      <c r="J88" s="94"/>
      <c r="K88" s="93"/>
      <c r="L88" s="93"/>
      <c r="M88" s="93"/>
    </row>
    <row r="89" spans="1:13" ht="30" x14ac:dyDescent="0.25">
      <c r="A89" s="165" t="s">
        <v>173</v>
      </c>
      <c r="B89" s="166" t="s">
        <v>174</v>
      </c>
      <c r="C89" s="167" t="s">
        <v>175</v>
      </c>
      <c r="D89" s="168" t="s">
        <v>143</v>
      </c>
      <c r="E89" s="169">
        <v>8.3000000000000007</v>
      </c>
      <c r="F89" s="170">
        <v>55.24</v>
      </c>
      <c r="G89" s="100">
        <f>IF(ISBLANK(F89),"",(E89*F89))</f>
        <v>458.49200000000008</v>
      </c>
      <c r="H89" s="171">
        <f>-H90</f>
        <v>-3.95</v>
      </c>
      <c r="I89" s="172">
        <f>F89</f>
        <v>55.24</v>
      </c>
      <c r="J89" s="103">
        <f>IF(ISBLANK(I89),"",(H89*I89))</f>
        <v>-218.19800000000001</v>
      </c>
      <c r="K89" s="104">
        <f>E89+H89</f>
        <v>4.3500000000000005</v>
      </c>
      <c r="L89" s="105">
        <f>F89</f>
        <v>55.24</v>
      </c>
      <c r="M89" s="106">
        <f t="shared" ref="M89:M101" si="27">IF(ISBLANK(L89),"",(K89*L89))</f>
        <v>240.29400000000004</v>
      </c>
    </row>
    <row r="90" spans="1:13" x14ac:dyDescent="0.25">
      <c r="A90" s="165"/>
      <c r="B90" s="166"/>
      <c r="C90" s="173" t="s">
        <v>312</v>
      </c>
      <c r="D90" s="168"/>
      <c r="E90" s="169"/>
      <c r="F90" s="170"/>
      <c r="G90" s="100"/>
      <c r="H90" s="173">
        <f>3.95*(0.5+0.5)</f>
        <v>3.95</v>
      </c>
      <c r="I90" s="172"/>
      <c r="J90" s="103"/>
      <c r="K90" s="104"/>
      <c r="L90" s="105"/>
      <c r="M90" s="106"/>
    </row>
    <row r="91" spans="1:13" x14ac:dyDescent="0.25">
      <c r="A91" s="89" t="s">
        <v>173</v>
      </c>
      <c r="B91" s="90" t="s">
        <v>207</v>
      </c>
      <c r="C91" s="91"/>
      <c r="D91" s="91"/>
      <c r="E91" s="91"/>
      <c r="F91" s="92"/>
      <c r="G91" s="92"/>
      <c r="H91" s="92"/>
      <c r="I91" s="92"/>
      <c r="J91" s="92"/>
      <c r="K91" s="92"/>
      <c r="L91" s="92"/>
      <c r="M91" s="92"/>
    </row>
    <row r="92" spans="1:13" ht="30" x14ac:dyDescent="0.25">
      <c r="A92" s="165" t="s">
        <v>313</v>
      </c>
      <c r="B92" s="166" t="s">
        <v>141</v>
      </c>
      <c r="C92" s="167" t="s">
        <v>142</v>
      </c>
      <c r="D92" s="168" t="s">
        <v>143</v>
      </c>
      <c r="E92" s="169">
        <v>28.1</v>
      </c>
      <c r="F92" s="170">
        <v>23.2</v>
      </c>
      <c r="G92" s="100">
        <f t="shared" ref="G92:G102" si="28">IF(ISBLANK(F92),"",(E92*F92))</f>
        <v>651.91999999999996</v>
      </c>
      <c r="H92" s="171">
        <f>-1*3.95</f>
        <v>-3.95</v>
      </c>
      <c r="I92" s="172">
        <f t="shared" ref="I92:I101" si="29">F92</f>
        <v>23.2</v>
      </c>
      <c r="J92" s="103">
        <f t="shared" ref="J92:J101" si="30">IF(ISBLANK(I92),"",(H92*I92))</f>
        <v>-91.64</v>
      </c>
      <c r="K92" s="104">
        <f t="shared" ref="K92:K101" si="31">E92+H92</f>
        <v>24.150000000000002</v>
      </c>
      <c r="L92" s="105">
        <f t="shared" ref="L92:L101" si="32">F92</f>
        <v>23.2</v>
      </c>
      <c r="M92" s="106">
        <f t="shared" si="27"/>
        <v>560.28000000000009</v>
      </c>
    </row>
    <row r="93" spans="1:13" ht="45" x14ac:dyDescent="0.25">
      <c r="A93" s="165" t="s">
        <v>208</v>
      </c>
      <c r="B93" s="166" t="s">
        <v>287</v>
      </c>
      <c r="C93" s="167" t="s">
        <v>288</v>
      </c>
      <c r="D93" s="168" t="s">
        <v>143</v>
      </c>
      <c r="E93" s="169">
        <v>8.3000000000000007</v>
      </c>
      <c r="F93" s="170">
        <v>396.71</v>
      </c>
      <c r="G93" s="100">
        <f t="shared" si="28"/>
        <v>3292.6930000000002</v>
      </c>
      <c r="H93" s="171">
        <f>-E93</f>
        <v>-8.3000000000000007</v>
      </c>
      <c r="I93" s="172">
        <f t="shared" si="29"/>
        <v>396.71</v>
      </c>
      <c r="J93" s="103">
        <f t="shared" si="30"/>
        <v>-3292.6930000000002</v>
      </c>
      <c r="K93" s="104">
        <f t="shared" si="31"/>
        <v>0</v>
      </c>
      <c r="L93" s="105">
        <f t="shared" si="32"/>
        <v>396.71</v>
      </c>
      <c r="M93" s="106">
        <f t="shared" si="27"/>
        <v>0</v>
      </c>
    </row>
    <row r="94" spans="1:13" x14ac:dyDescent="0.25">
      <c r="A94" s="89" t="s">
        <v>293</v>
      </c>
      <c r="B94" s="90" t="s">
        <v>294</v>
      </c>
      <c r="C94" s="91"/>
      <c r="D94" s="91"/>
      <c r="E94" s="91"/>
      <c r="F94" s="92"/>
      <c r="G94" s="92"/>
      <c r="H94" s="92"/>
      <c r="I94" s="92"/>
      <c r="J94" s="92"/>
      <c r="K94" s="92"/>
      <c r="L94" s="92"/>
      <c r="M94" s="92"/>
    </row>
    <row r="95" spans="1:13" ht="30" x14ac:dyDescent="0.25">
      <c r="A95" s="165" t="s">
        <v>314</v>
      </c>
      <c r="B95" s="166" t="s">
        <v>248</v>
      </c>
      <c r="C95" s="167" t="s">
        <v>249</v>
      </c>
      <c r="D95" s="168" t="s">
        <v>192</v>
      </c>
      <c r="E95" s="169">
        <v>15.7</v>
      </c>
      <c r="F95" s="170">
        <v>51.29</v>
      </c>
      <c r="G95" s="100">
        <f t="shared" si="28"/>
        <v>805.25299999999993</v>
      </c>
      <c r="H95" s="171">
        <f>-E96</f>
        <v>-0.50560000000000005</v>
      </c>
      <c r="I95" s="172">
        <f t="shared" si="29"/>
        <v>51.29</v>
      </c>
      <c r="J95" s="103">
        <f t="shared" si="30"/>
        <v>-25.932224000000001</v>
      </c>
      <c r="K95" s="104">
        <f t="shared" si="31"/>
        <v>15.1944</v>
      </c>
      <c r="L95" s="105">
        <f t="shared" si="32"/>
        <v>51.29</v>
      </c>
      <c r="M95" s="106">
        <f t="shared" si="27"/>
        <v>779.32077600000002</v>
      </c>
    </row>
    <row r="96" spans="1:13" ht="22.5" x14ac:dyDescent="0.25">
      <c r="A96" s="165"/>
      <c r="B96" s="166"/>
      <c r="C96" s="173" t="s">
        <v>315</v>
      </c>
      <c r="D96" s="168"/>
      <c r="E96" s="173">
        <f>3.95*0.128</f>
        <v>0.50560000000000005</v>
      </c>
      <c r="F96" s="170"/>
      <c r="G96" s="100" t="str">
        <f t="shared" si="28"/>
        <v/>
      </c>
      <c r="H96" s="171"/>
      <c r="I96" s="172"/>
      <c r="J96" s="103"/>
      <c r="K96" s="104"/>
      <c r="L96" s="105"/>
      <c r="M96" s="106"/>
    </row>
    <row r="97" spans="1:13" ht="45" x14ac:dyDescent="0.25">
      <c r="A97" s="165" t="s">
        <v>316</v>
      </c>
      <c r="B97" s="166" t="s">
        <v>251</v>
      </c>
      <c r="C97" s="167" t="s">
        <v>252</v>
      </c>
      <c r="D97" s="168" t="s">
        <v>192</v>
      </c>
      <c r="E97" s="169">
        <v>6.9</v>
      </c>
      <c r="F97" s="170">
        <v>257.77999999999997</v>
      </c>
      <c r="G97" s="100">
        <f t="shared" si="28"/>
        <v>1778.682</v>
      </c>
      <c r="H97" s="171">
        <f>-E98</f>
        <v>-0.50560000000000005</v>
      </c>
      <c r="I97" s="172">
        <f t="shared" si="29"/>
        <v>257.77999999999997</v>
      </c>
      <c r="J97" s="103">
        <f t="shared" si="30"/>
        <v>-130.33356799999999</v>
      </c>
      <c r="K97" s="104">
        <f t="shared" si="31"/>
        <v>6.3944000000000001</v>
      </c>
      <c r="L97" s="105">
        <f t="shared" si="32"/>
        <v>257.77999999999997</v>
      </c>
      <c r="M97" s="106">
        <f t="shared" si="27"/>
        <v>1648.3484319999998</v>
      </c>
    </row>
    <row r="98" spans="1:13" ht="22.5" x14ac:dyDescent="0.25">
      <c r="A98" s="165"/>
      <c r="B98" s="166"/>
      <c r="C98" s="173" t="s">
        <v>315</v>
      </c>
      <c r="D98" s="168"/>
      <c r="E98" s="173">
        <f>3.95*0.128</f>
        <v>0.50560000000000005</v>
      </c>
      <c r="F98" s="170"/>
      <c r="G98" s="100" t="str">
        <f t="shared" si="28"/>
        <v/>
      </c>
      <c r="H98" s="171"/>
      <c r="I98" s="172"/>
      <c r="J98" s="103"/>
      <c r="K98" s="104"/>
      <c r="L98" s="105"/>
      <c r="M98" s="106"/>
    </row>
    <row r="99" spans="1:13" ht="30" x14ac:dyDescent="0.25">
      <c r="A99" s="165" t="s">
        <v>310</v>
      </c>
      <c r="B99" s="166" t="s">
        <v>260</v>
      </c>
      <c r="C99" s="167" t="s">
        <v>261</v>
      </c>
      <c r="D99" s="168" t="s">
        <v>192</v>
      </c>
      <c r="E99" s="169">
        <v>15.6778</v>
      </c>
      <c r="F99" s="170">
        <v>40.770000000000003</v>
      </c>
      <c r="G99" s="100">
        <f t="shared" si="28"/>
        <v>639.18390599999998</v>
      </c>
      <c r="H99" s="171">
        <f>-E100</f>
        <v>-0.50560000000000005</v>
      </c>
      <c r="I99" s="172">
        <f t="shared" si="29"/>
        <v>40.770000000000003</v>
      </c>
      <c r="J99" s="103">
        <f t="shared" si="30"/>
        <v>-20.613312000000004</v>
      </c>
      <c r="K99" s="104">
        <f t="shared" si="31"/>
        <v>15.1722</v>
      </c>
      <c r="L99" s="105">
        <f t="shared" si="32"/>
        <v>40.770000000000003</v>
      </c>
      <c r="M99" s="106">
        <f t="shared" si="27"/>
        <v>618.57059400000003</v>
      </c>
    </row>
    <row r="100" spans="1:13" ht="22.5" x14ac:dyDescent="0.25">
      <c r="A100" s="165"/>
      <c r="B100" s="166"/>
      <c r="C100" s="173" t="s">
        <v>315</v>
      </c>
      <c r="D100" s="168"/>
      <c r="E100" s="173">
        <f>3.95*0.128</f>
        <v>0.50560000000000005</v>
      </c>
      <c r="F100" s="170"/>
      <c r="G100" s="100" t="str">
        <f t="shared" si="28"/>
        <v/>
      </c>
      <c r="H100" s="171"/>
      <c r="I100" s="172"/>
      <c r="J100" s="103"/>
      <c r="K100" s="104"/>
      <c r="L100" s="105"/>
      <c r="M100" s="106"/>
    </row>
    <row r="101" spans="1:13" ht="30" x14ac:dyDescent="0.25">
      <c r="A101" s="165" t="s">
        <v>317</v>
      </c>
      <c r="B101" s="166" t="s">
        <v>263</v>
      </c>
      <c r="C101" s="167" t="s">
        <v>261</v>
      </c>
      <c r="D101" s="168" t="s">
        <v>192</v>
      </c>
      <c r="E101" s="169">
        <v>15.7</v>
      </c>
      <c r="F101" s="170">
        <v>165.77</v>
      </c>
      <c r="G101" s="100">
        <f t="shared" si="28"/>
        <v>2602.5889999999999</v>
      </c>
      <c r="H101" s="171">
        <f>-E102</f>
        <v>-0.50560000000000005</v>
      </c>
      <c r="I101" s="172">
        <f t="shared" si="29"/>
        <v>165.77</v>
      </c>
      <c r="J101" s="103">
        <f t="shared" si="30"/>
        <v>-83.81331200000001</v>
      </c>
      <c r="K101" s="104">
        <f t="shared" si="31"/>
        <v>15.1944</v>
      </c>
      <c r="L101" s="105">
        <f t="shared" si="32"/>
        <v>165.77</v>
      </c>
      <c r="M101" s="106">
        <f t="shared" si="27"/>
        <v>2518.7756880000002</v>
      </c>
    </row>
    <row r="102" spans="1:13" ht="22.5" x14ac:dyDescent="0.25">
      <c r="A102" s="165"/>
      <c r="B102" s="166"/>
      <c r="C102" s="173" t="s">
        <v>315</v>
      </c>
      <c r="D102" s="168"/>
      <c r="E102" s="173">
        <f>3.95*0.128</f>
        <v>0.50560000000000005</v>
      </c>
      <c r="F102" s="170"/>
      <c r="G102" s="100" t="str">
        <f t="shared" si="28"/>
        <v/>
      </c>
      <c r="H102" s="171"/>
      <c r="I102" s="172"/>
      <c r="J102" s="103"/>
      <c r="K102" s="104"/>
      <c r="L102" s="105"/>
      <c r="M102" s="106"/>
    </row>
    <row r="103" spans="1:13" x14ac:dyDescent="0.25">
      <c r="A103" s="174"/>
      <c r="B103" s="174"/>
      <c r="C103" s="177"/>
      <c r="D103" s="164"/>
      <c r="E103" s="178"/>
      <c r="F103" s="175"/>
      <c r="G103" s="116"/>
      <c r="H103" s="159"/>
      <c r="I103" s="160"/>
      <c r="J103" s="103"/>
      <c r="K103" s="161"/>
      <c r="L103" s="162"/>
      <c r="M103" s="154"/>
    </row>
    <row r="104" spans="1:13" ht="15.75" x14ac:dyDescent="0.25">
      <c r="A104" s="121"/>
      <c r="B104" s="122"/>
      <c r="C104" s="123"/>
      <c r="D104" s="121"/>
      <c r="E104" s="124"/>
      <c r="F104" s="125"/>
      <c r="G104" s="116">
        <f>SUBTOTAL(9,G89:G101)</f>
        <v>10228.812905999999</v>
      </c>
      <c r="H104" s="127"/>
      <c r="I104" s="128"/>
      <c r="J104" s="103">
        <f>SUBTOTAL(9,J89:J101)</f>
        <v>-3863.2234160000007</v>
      </c>
      <c r="K104" s="130"/>
      <c r="L104" s="130"/>
      <c r="M104" s="154">
        <f>SUBTOTAL(9,M89:M101)</f>
        <v>6365.5894900000003</v>
      </c>
    </row>
    <row r="106" spans="1:13" x14ac:dyDescent="0.25">
      <c r="A106" s="270" t="s">
        <v>318</v>
      </c>
      <c r="B106" s="271"/>
      <c r="C106" s="271"/>
      <c r="D106" s="271"/>
      <c r="E106" s="68"/>
      <c r="F106" s="155"/>
      <c r="G106" s="69"/>
      <c r="H106" s="70"/>
      <c r="I106" s="71"/>
      <c r="J106" s="156"/>
      <c r="K106" s="157"/>
      <c r="L106" s="157"/>
      <c r="M106" s="158"/>
    </row>
    <row r="107" spans="1:13" x14ac:dyDescent="0.25">
      <c r="A107" s="41"/>
      <c r="B107" s="75"/>
      <c r="C107" s="75"/>
      <c r="D107" s="75"/>
      <c r="E107" s="68"/>
      <c r="F107" s="155"/>
      <c r="G107" s="69"/>
      <c r="H107" s="70"/>
      <c r="I107" s="71"/>
      <c r="J107" s="156"/>
      <c r="K107" s="157"/>
      <c r="L107" s="157"/>
      <c r="M107" s="158"/>
    </row>
    <row r="108" spans="1:13" ht="15.75" x14ac:dyDescent="0.25">
      <c r="A108" s="76" t="s">
        <v>48</v>
      </c>
      <c r="B108" s="77" t="s">
        <v>282</v>
      </c>
      <c r="C108" s="75"/>
      <c r="D108" s="75"/>
      <c r="E108" s="265" t="s">
        <v>50</v>
      </c>
      <c r="F108" s="265"/>
      <c r="G108" s="265"/>
      <c r="H108" s="266" t="s">
        <v>51</v>
      </c>
      <c r="I108" s="266"/>
      <c r="J108" s="266"/>
      <c r="K108" s="267" t="s">
        <v>16</v>
      </c>
      <c r="L108" s="267"/>
      <c r="M108" s="267"/>
    </row>
    <row r="109" spans="1:13" ht="24" x14ac:dyDescent="0.25">
      <c r="A109" s="78" t="s">
        <v>52</v>
      </c>
      <c r="B109" s="79" t="s">
        <v>53</v>
      </c>
      <c r="C109" s="78" t="s">
        <v>53</v>
      </c>
      <c r="D109" s="79" t="s">
        <v>54</v>
      </c>
      <c r="E109" s="80" t="s">
        <v>55</v>
      </c>
      <c r="F109" s="81" t="s">
        <v>56</v>
      </c>
      <c r="G109" s="82" t="s">
        <v>57</v>
      </c>
      <c r="H109" s="83" t="s">
        <v>55</v>
      </c>
      <c r="I109" s="84" t="s">
        <v>58</v>
      </c>
      <c r="J109" s="85" t="s">
        <v>57</v>
      </c>
      <c r="K109" s="86" t="s">
        <v>55</v>
      </c>
      <c r="L109" s="87" t="s">
        <v>58</v>
      </c>
      <c r="M109" s="88" t="s">
        <v>59</v>
      </c>
    </row>
    <row r="110" spans="1:13" x14ac:dyDescent="0.25">
      <c r="A110" s="89" t="s">
        <v>60</v>
      </c>
      <c r="B110" s="90" t="s">
        <v>61</v>
      </c>
      <c r="C110" s="91"/>
      <c r="D110" s="91"/>
      <c r="E110" s="91"/>
      <c r="F110" s="92"/>
      <c r="G110" s="93"/>
      <c r="H110" s="94"/>
      <c r="I110" s="94"/>
      <c r="J110" s="94"/>
      <c r="K110" s="93"/>
      <c r="L110" s="93"/>
      <c r="M110" s="93"/>
    </row>
    <row r="111" spans="1:13" ht="30" x14ac:dyDescent="0.25">
      <c r="A111" s="165" t="s">
        <v>213</v>
      </c>
      <c r="B111" s="166" t="s">
        <v>174</v>
      </c>
      <c r="C111" s="167" t="s">
        <v>175</v>
      </c>
      <c r="D111" s="168" t="s">
        <v>143</v>
      </c>
      <c r="E111" s="169">
        <v>24.7</v>
      </c>
      <c r="F111" s="170">
        <v>55.24</v>
      </c>
      <c r="G111" s="100">
        <f>IF(ISBLANK(F111),"",(E111*F111))</f>
        <v>1364.4280000000001</v>
      </c>
      <c r="H111" s="171">
        <f>-H112</f>
        <v>-11.78</v>
      </c>
      <c r="I111" s="172">
        <f>F111</f>
        <v>55.24</v>
      </c>
      <c r="J111" s="103">
        <f>IF(ISBLANK(I111),"",(H111*I111))</f>
        <v>-650.72720000000004</v>
      </c>
      <c r="K111" s="104">
        <f>E111+H111</f>
        <v>12.92</v>
      </c>
      <c r="L111" s="105">
        <f>F111</f>
        <v>55.24</v>
      </c>
      <c r="M111" s="106">
        <f t="shared" ref="M111" si="33">IF(ISBLANK(L111),"",(K111*L111))</f>
        <v>713.70080000000007</v>
      </c>
    </row>
    <row r="112" spans="1:13" x14ac:dyDescent="0.25">
      <c r="A112" s="165"/>
      <c r="B112" s="166"/>
      <c r="C112" s="167"/>
      <c r="D112" s="168"/>
      <c r="E112" s="169"/>
      <c r="F112" s="170"/>
      <c r="G112" s="100"/>
      <c r="H112" s="173">
        <f>11.78*1</f>
        <v>11.78</v>
      </c>
      <c r="I112" s="172"/>
      <c r="J112" s="103"/>
      <c r="K112" s="104"/>
      <c r="L112" s="105"/>
      <c r="M112" s="106"/>
    </row>
    <row r="113" spans="1:13" x14ac:dyDescent="0.25">
      <c r="A113" s="89" t="s">
        <v>173</v>
      </c>
      <c r="B113" s="90" t="s">
        <v>207</v>
      </c>
      <c r="C113" s="91"/>
      <c r="D113" s="91"/>
      <c r="E113" s="91"/>
      <c r="F113" s="92"/>
      <c r="G113" s="92"/>
      <c r="H113" s="92"/>
      <c r="I113" s="92"/>
      <c r="J113" s="92"/>
      <c r="K113" s="92"/>
      <c r="L113" s="92"/>
      <c r="M113" s="92"/>
    </row>
    <row r="114" spans="1:13" ht="30" x14ac:dyDescent="0.25">
      <c r="A114" s="165" t="s">
        <v>301</v>
      </c>
      <c r="B114" s="166" t="s">
        <v>141</v>
      </c>
      <c r="C114" s="167" t="s">
        <v>142</v>
      </c>
      <c r="D114" s="168" t="s">
        <v>143</v>
      </c>
      <c r="E114" s="169">
        <v>201.7</v>
      </c>
      <c r="F114" s="170">
        <v>23.2</v>
      </c>
      <c r="G114" s="100">
        <f t="shared" ref="G114:G123" si="34">IF(ISBLANK(F114),"",(E114*F114))</f>
        <v>4679.4399999999996</v>
      </c>
      <c r="H114" s="171">
        <f>+H111</f>
        <v>-11.78</v>
      </c>
      <c r="I114" s="172">
        <f t="shared" ref="I114:I123" si="35">F114</f>
        <v>23.2</v>
      </c>
      <c r="J114" s="103">
        <f t="shared" ref="J114:J123" si="36">IF(ISBLANK(I114),"",(H114*I114))</f>
        <v>-273.29599999999999</v>
      </c>
      <c r="K114" s="104">
        <f t="shared" ref="K114:K123" si="37">E114+H114</f>
        <v>189.92</v>
      </c>
      <c r="L114" s="105">
        <f t="shared" ref="L114:L123" si="38">F114</f>
        <v>23.2</v>
      </c>
      <c r="M114" s="106">
        <f t="shared" ref="M114:M123" si="39">IF(ISBLANK(L114),"",(K114*L114))</f>
        <v>4406.1439999999993</v>
      </c>
    </row>
    <row r="115" spans="1:13" ht="45" x14ac:dyDescent="0.25">
      <c r="A115" s="165" t="s">
        <v>286</v>
      </c>
      <c r="B115" s="166" t="s">
        <v>287</v>
      </c>
      <c r="C115" s="167" t="s">
        <v>288</v>
      </c>
      <c r="D115" s="168" t="s">
        <v>143</v>
      </c>
      <c r="E115" s="169">
        <v>24.7</v>
      </c>
      <c r="F115" s="170">
        <v>396.71</v>
      </c>
      <c r="G115" s="100">
        <f t="shared" si="34"/>
        <v>9798.7369999999992</v>
      </c>
      <c r="H115" s="171">
        <f>-E115</f>
        <v>-24.7</v>
      </c>
      <c r="I115" s="172">
        <f t="shared" si="35"/>
        <v>396.71</v>
      </c>
      <c r="J115" s="103">
        <f t="shared" si="36"/>
        <v>-9798.7369999999992</v>
      </c>
      <c r="K115" s="104">
        <f t="shared" si="37"/>
        <v>0</v>
      </c>
      <c r="L115" s="105">
        <f t="shared" si="38"/>
        <v>396.71</v>
      </c>
      <c r="M115" s="106">
        <f t="shared" si="39"/>
        <v>0</v>
      </c>
    </row>
    <row r="116" spans="1:13" x14ac:dyDescent="0.25">
      <c r="A116" s="89" t="s">
        <v>293</v>
      </c>
      <c r="B116" s="90" t="s">
        <v>294</v>
      </c>
      <c r="C116" s="91"/>
      <c r="D116" s="91"/>
      <c r="E116" s="91"/>
      <c r="F116" s="92"/>
      <c r="G116" s="92"/>
      <c r="H116" s="92"/>
      <c r="I116" s="92"/>
      <c r="J116" s="92"/>
      <c r="K116" s="92"/>
      <c r="L116" s="92"/>
      <c r="M116" s="92"/>
    </row>
    <row r="117" spans="1:13" ht="30" x14ac:dyDescent="0.25">
      <c r="A117" s="165" t="s">
        <v>250</v>
      </c>
      <c r="B117" s="166" t="s">
        <v>248</v>
      </c>
      <c r="C117" s="167" t="s">
        <v>249</v>
      </c>
      <c r="D117" s="168" t="s">
        <v>192</v>
      </c>
      <c r="E117" s="169">
        <v>110.3</v>
      </c>
      <c r="F117" s="170">
        <v>51.29</v>
      </c>
      <c r="G117" s="100">
        <f t="shared" si="34"/>
        <v>5657.2869999999994</v>
      </c>
      <c r="H117" s="171">
        <f>-E118</f>
        <v>-1.5078399999999998</v>
      </c>
      <c r="I117" s="172">
        <f t="shared" si="35"/>
        <v>51.29</v>
      </c>
      <c r="J117" s="103">
        <f t="shared" si="36"/>
        <v>-77.337113599999995</v>
      </c>
      <c r="K117" s="104">
        <f t="shared" si="37"/>
        <v>108.79216</v>
      </c>
      <c r="L117" s="105">
        <f t="shared" si="38"/>
        <v>51.29</v>
      </c>
      <c r="M117" s="106">
        <f t="shared" si="39"/>
        <v>5579.9498863999997</v>
      </c>
    </row>
    <row r="118" spans="1:13" ht="22.5" x14ac:dyDescent="0.25">
      <c r="A118" s="165"/>
      <c r="B118" s="166"/>
      <c r="C118" s="173" t="s">
        <v>319</v>
      </c>
      <c r="D118" s="168"/>
      <c r="E118" s="173">
        <f>11.78*0.128</f>
        <v>1.5078399999999998</v>
      </c>
      <c r="F118" s="170"/>
      <c r="G118" s="100"/>
      <c r="H118" s="171"/>
      <c r="I118" s="172"/>
      <c r="J118" s="103"/>
      <c r="K118" s="104"/>
      <c r="L118" s="105"/>
      <c r="M118" s="106"/>
    </row>
    <row r="119" spans="1:13" ht="45" x14ac:dyDescent="0.25">
      <c r="A119" s="165" t="s">
        <v>256</v>
      </c>
      <c r="B119" s="166" t="s">
        <v>251</v>
      </c>
      <c r="C119" s="167" t="s">
        <v>252</v>
      </c>
      <c r="D119" s="168" t="s">
        <v>192</v>
      </c>
      <c r="E119" s="169">
        <v>49.4</v>
      </c>
      <c r="F119" s="170">
        <v>257.77999999999997</v>
      </c>
      <c r="G119" s="100">
        <f t="shared" si="34"/>
        <v>12734.331999999999</v>
      </c>
      <c r="H119" s="171">
        <f>-E120</f>
        <v>-1.5078399999999998</v>
      </c>
      <c r="I119" s="172">
        <f t="shared" si="35"/>
        <v>257.77999999999997</v>
      </c>
      <c r="J119" s="103">
        <f t="shared" si="36"/>
        <v>-388.69099519999992</v>
      </c>
      <c r="K119" s="104">
        <f t="shared" si="37"/>
        <v>47.892159999999997</v>
      </c>
      <c r="L119" s="105">
        <f t="shared" si="38"/>
        <v>257.77999999999997</v>
      </c>
      <c r="M119" s="106">
        <f t="shared" si="39"/>
        <v>12345.641004799998</v>
      </c>
    </row>
    <row r="120" spans="1:13" ht="22.5" x14ac:dyDescent="0.25">
      <c r="A120" s="165"/>
      <c r="B120" s="166"/>
      <c r="C120" s="173" t="s">
        <v>319</v>
      </c>
      <c r="D120" s="168"/>
      <c r="E120" s="173">
        <f>11.78*0.128</f>
        <v>1.5078399999999998</v>
      </c>
      <c r="F120" s="170"/>
      <c r="G120" s="100"/>
      <c r="H120" s="171"/>
      <c r="I120" s="172"/>
      <c r="J120" s="103"/>
      <c r="K120" s="104"/>
      <c r="L120" s="105"/>
      <c r="M120" s="106"/>
    </row>
    <row r="121" spans="1:13" ht="30" x14ac:dyDescent="0.25">
      <c r="A121" s="165" t="s">
        <v>259</v>
      </c>
      <c r="B121" s="166" t="s">
        <v>260</v>
      </c>
      <c r="C121" s="167" t="s">
        <v>261</v>
      </c>
      <c r="D121" s="168" t="s">
        <v>192</v>
      </c>
      <c r="E121" s="169">
        <v>110.34775</v>
      </c>
      <c r="F121" s="170">
        <v>40.770000000000003</v>
      </c>
      <c r="G121" s="100">
        <f t="shared" si="34"/>
        <v>4498.8777675000001</v>
      </c>
      <c r="H121" s="171">
        <f>-E122</f>
        <v>-1.5078399999999998</v>
      </c>
      <c r="I121" s="172">
        <f t="shared" si="35"/>
        <v>40.770000000000003</v>
      </c>
      <c r="J121" s="103">
        <f t="shared" si="36"/>
        <v>-61.474636799999999</v>
      </c>
      <c r="K121" s="104">
        <f t="shared" si="37"/>
        <v>108.83991</v>
      </c>
      <c r="L121" s="105">
        <f t="shared" si="38"/>
        <v>40.770000000000003</v>
      </c>
      <c r="M121" s="106">
        <f t="shared" si="39"/>
        <v>4437.4031307000005</v>
      </c>
    </row>
    <row r="122" spans="1:13" ht="22.5" x14ac:dyDescent="0.25">
      <c r="A122" s="165"/>
      <c r="B122" s="166"/>
      <c r="C122" s="173" t="s">
        <v>319</v>
      </c>
      <c r="D122" s="168"/>
      <c r="E122" s="173">
        <f>11.78*0.128</f>
        <v>1.5078399999999998</v>
      </c>
      <c r="F122" s="170"/>
      <c r="G122" s="100"/>
      <c r="H122" s="171"/>
      <c r="I122" s="172"/>
      <c r="J122" s="103"/>
      <c r="K122" s="104"/>
      <c r="L122" s="105"/>
      <c r="M122" s="106"/>
    </row>
    <row r="123" spans="1:13" ht="30" x14ac:dyDescent="0.25">
      <c r="A123" s="165" t="s">
        <v>262</v>
      </c>
      <c r="B123" s="166" t="s">
        <v>263</v>
      </c>
      <c r="C123" s="167" t="s">
        <v>261</v>
      </c>
      <c r="D123" s="168" t="s">
        <v>192</v>
      </c>
      <c r="E123" s="169">
        <v>110.3</v>
      </c>
      <c r="F123" s="170">
        <v>167.4</v>
      </c>
      <c r="G123" s="100">
        <f t="shared" si="34"/>
        <v>18464.22</v>
      </c>
      <c r="H123" s="171">
        <f>-E124</f>
        <v>-1.5078399999999998</v>
      </c>
      <c r="I123" s="172">
        <f t="shared" si="35"/>
        <v>167.4</v>
      </c>
      <c r="J123" s="103">
        <f t="shared" si="36"/>
        <v>-252.41241599999998</v>
      </c>
      <c r="K123" s="104">
        <f t="shared" si="37"/>
        <v>108.79216</v>
      </c>
      <c r="L123" s="105">
        <f t="shared" si="38"/>
        <v>167.4</v>
      </c>
      <c r="M123" s="106">
        <f t="shared" si="39"/>
        <v>18211.807583999998</v>
      </c>
    </row>
    <row r="124" spans="1:13" ht="22.5" x14ac:dyDescent="0.25">
      <c r="A124" s="165"/>
      <c r="B124" s="166"/>
      <c r="C124" s="173" t="s">
        <v>319</v>
      </c>
      <c r="D124" s="168"/>
      <c r="E124" s="173">
        <f>11.78*0.128</f>
        <v>1.5078399999999998</v>
      </c>
      <c r="F124" s="170"/>
      <c r="G124" s="100"/>
      <c r="H124" s="171"/>
      <c r="I124" s="172"/>
      <c r="J124" s="103"/>
      <c r="K124" s="104"/>
      <c r="L124" s="105"/>
      <c r="M124" s="106"/>
    </row>
    <row r="125" spans="1:13" x14ac:dyDescent="0.25">
      <c r="A125" s="174"/>
      <c r="B125" s="174"/>
      <c r="C125" s="177"/>
      <c r="D125" s="164"/>
      <c r="E125" s="178"/>
      <c r="F125" s="175"/>
      <c r="G125" s="116"/>
      <c r="H125" s="159"/>
      <c r="I125" s="160"/>
      <c r="J125" s="103"/>
      <c r="K125" s="161"/>
      <c r="L125" s="162"/>
      <c r="M125" s="154"/>
    </row>
    <row r="126" spans="1:13" ht="15.75" x14ac:dyDescent="0.25">
      <c r="A126" s="121"/>
      <c r="B126" s="122"/>
      <c r="C126" s="123"/>
      <c r="D126" s="121"/>
      <c r="E126" s="124"/>
      <c r="F126" s="125"/>
      <c r="G126" s="116">
        <f>SUBTOTAL(9,G111:G124)</f>
        <v>57197.321767500005</v>
      </c>
      <c r="H126" s="127"/>
      <c r="I126" s="128"/>
      <c r="J126" s="103">
        <f>SUBTOTAL(9,J111:J123)</f>
        <v>-11502.675361599999</v>
      </c>
      <c r="K126" s="130"/>
      <c r="L126" s="130"/>
      <c r="M126" s="120">
        <f>SUBTOTAL(9,M111:M123)</f>
        <v>45694.646405899999</v>
      </c>
    </row>
    <row r="128" spans="1:13" x14ac:dyDescent="0.25">
      <c r="A128" s="270" t="s">
        <v>320</v>
      </c>
      <c r="B128" s="271"/>
      <c r="C128" s="271"/>
      <c r="D128" s="271"/>
      <c r="E128" s="68"/>
      <c r="F128" s="155"/>
      <c r="G128" s="69"/>
      <c r="H128" s="70"/>
      <c r="I128" s="71"/>
      <c r="J128" s="156"/>
      <c r="K128" s="157"/>
      <c r="L128" s="157"/>
      <c r="M128" s="158"/>
    </row>
    <row r="129" spans="1:13" x14ac:dyDescent="0.25">
      <c r="A129" s="41"/>
      <c r="B129" s="75"/>
      <c r="C129" s="75"/>
      <c r="D129" s="75"/>
      <c r="E129" s="68"/>
      <c r="F129" s="155"/>
      <c r="G129" s="69"/>
      <c r="H129" s="70"/>
      <c r="I129" s="71"/>
      <c r="J129" s="156"/>
      <c r="K129" s="157"/>
      <c r="L129" s="157"/>
      <c r="M129" s="158"/>
    </row>
    <row r="130" spans="1:13" ht="15.75" x14ac:dyDescent="0.25">
      <c r="A130" s="76" t="s">
        <v>48</v>
      </c>
      <c r="B130" s="77" t="s">
        <v>282</v>
      </c>
      <c r="C130" s="75"/>
      <c r="D130" s="75"/>
      <c r="E130" s="265" t="s">
        <v>50</v>
      </c>
      <c r="F130" s="265"/>
      <c r="G130" s="265"/>
      <c r="H130" s="266" t="s">
        <v>51</v>
      </c>
      <c r="I130" s="266"/>
      <c r="J130" s="266"/>
      <c r="K130" s="267" t="s">
        <v>16</v>
      </c>
      <c r="L130" s="267"/>
      <c r="M130" s="267"/>
    </row>
    <row r="131" spans="1:13" ht="24" x14ac:dyDescent="0.25">
      <c r="A131" s="78" t="s">
        <v>52</v>
      </c>
      <c r="B131" s="79" t="s">
        <v>53</v>
      </c>
      <c r="C131" s="78" t="s">
        <v>53</v>
      </c>
      <c r="D131" s="79" t="s">
        <v>54</v>
      </c>
      <c r="E131" s="80" t="s">
        <v>55</v>
      </c>
      <c r="F131" s="81" t="s">
        <v>56</v>
      </c>
      <c r="G131" s="82" t="s">
        <v>57</v>
      </c>
      <c r="H131" s="83" t="s">
        <v>55</v>
      </c>
      <c r="I131" s="84" t="s">
        <v>58</v>
      </c>
      <c r="J131" s="85" t="s">
        <v>57</v>
      </c>
      <c r="K131" s="86" t="s">
        <v>55</v>
      </c>
      <c r="L131" s="87" t="s">
        <v>58</v>
      </c>
      <c r="M131" s="88" t="s">
        <v>59</v>
      </c>
    </row>
    <row r="132" spans="1:13" x14ac:dyDescent="0.25">
      <c r="A132" s="89" t="s">
        <v>60</v>
      </c>
      <c r="B132" s="90" t="s">
        <v>61</v>
      </c>
      <c r="C132" s="91"/>
      <c r="D132" s="91"/>
      <c r="E132" s="91"/>
      <c r="F132" s="92"/>
      <c r="G132" s="93"/>
      <c r="H132" s="94"/>
      <c r="I132" s="94"/>
      <c r="J132" s="94"/>
      <c r="K132" s="93"/>
      <c r="L132" s="93"/>
      <c r="M132" s="93"/>
    </row>
    <row r="133" spans="1:13" ht="30" x14ac:dyDescent="0.25">
      <c r="A133" s="165" t="s">
        <v>213</v>
      </c>
      <c r="B133" s="166" t="s">
        <v>174</v>
      </c>
      <c r="C133" s="167" t="s">
        <v>175</v>
      </c>
      <c r="D133" s="168" t="s">
        <v>143</v>
      </c>
      <c r="E133" s="169">
        <v>13.7</v>
      </c>
      <c r="F133" s="170">
        <v>55.24</v>
      </c>
      <c r="G133" s="100">
        <f>IF(ISBLANK(F133),"",(E133*F133))</f>
        <v>756.78800000000001</v>
      </c>
      <c r="H133" s="171">
        <f>-E134</f>
        <v>-6.5</v>
      </c>
      <c r="I133" s="172">
        <f>F133</f>
        <v>55.24</v>
      </c>
      <c r="J133" s="103">
        <f>IF(ISBLANK(I133),"",(H133*I133))</f>
        <v>-359.06</v>
      </c>
      <c r="K133" s="104">
        <f>E133+H133</f>
        <v>7.1999999999999993</v>
      </c>
      <c r="L133" s="105">
        <f>F133</f>
        <v>55.24</v>
      </c>
      <c r="M133" s="106">
        <f t="shared" ref="M133" si="40">IF(ISBLANK(L133),"",(K133*L133))</f>
        <v>397.72799999999995</v>
      </c>
    </row>
    <row r="134" spans="1:13" x14ac:dyDescent="0.25">
      <c r="A134" s="165"/>
      <c r="B134" s="166"/>
      <c r="C134" s="173" t="s">
        <v>321</v>
      </c>
      <c r="D134" s="168"/>
      <c r="E134" s="173">
        <f>(6.5)*(1)</f>
        <v>6.5</v>
      </c>
      <c r="F134" s="170"/>
      <c r="G134" s="100"/>
      <c r="H134" s="171"/>
      <c r="I134" s="172"/>
      <c r="J134" s="103"/>
      <c r="K134" s="104"/>
      <c r="L134" s="105"/>
      <c r="M134" s="106"/>
    </row>
    <row r="135" spans="1:13" x14ac:dyDescent="0.25">
      <c r="A135" s="89" t="s">
        <v>173</v>
      </c>
      <c r="B135" s="90" t="s">
        <v>207</v>
      </c>
      <c r="C135" s="91"/>
      <c r="D135" s="91"/>
      <c r="E135" s="91"/>
      <c r="F135" s="92"/>
      <c r="G135" s="92"/>
      <c r="H135" s="92"/>
      <c r="I135" s="92"/>
      <c r="J135" s="92"/>
      <c r="K135" s="92"/>
      <c r="L135" s="92"/>
      <c r="M135" s="92"/>
    </row>
    <row r="136" spans="1:13" ht="30" x14ac:dyDescent="0.25">
      <c r="A136" s="165" t="s">
        <v>322</v>
      </c>
      <c r="B136" s="166" t="s">
        <v>141</v>
      </c>
      <c r="C136" s="167" t="s">
        <v>142</v>
      </c>
      <c r="D136" s="168" t="s">
        <v>143</v>
      </c>
      <c r="E136" s="169">
        <v>532</v>
      </c>
      <c r="F136" s="170">
        <v>23.2</v>
      </c>
      <c r="G136" s="100">
        <f t="shared" ref="G136:G151" si="41">IF(ISBLANK(F136),"",(E136*F136))</f>
        <v>12342.4</v>
      </c>
      <c r="H136" s="171">
        <f>-E137</f>
        <v>-6.5</v>
      </c>
      <c r="I136" s="172">
        <f t="shared" ref="I136:I151" si="42">F136</f>
        <v>23.2</v>
      </c>
      <c r="J136" s="103">
        <f t="shared" ref="J136:J151" si="43">IF(ISBLANK(I136),"",(H136*I136))</f>
        <v>-150.79999999999998</v>
      </c>
      <c r="K136" s="104">
        <f t="shared" ref="K136:K151" si="44">E136+H136</f>
        <v>525.5</v>
      </c>
      <c r="L136" s="105">
        <f t="shared" ref="L136:L151" si="45">F136</f>
        <v>23.2</v>
      </c>
      <c r="M136" s="106">
        <f t="shared" ref="M136:M151" si="46">IF(ISBLANK(L136),"",(K136*L136))</f>
        <v>12191.6</v>
      </c>
    </row>
    <row r="137" spans="1:13" x14ac:dyDescent="0.25">
      <c r="A137" s="165"/>
      <c r="B137" s="166"/>
      <c r="C137" s="173" t="s">
        <v>323</v>
      </c>
      <c r="D137" s="168"/>
      <c r="E137" s="173">
        <f>1*6.5</f>
        <v>6.5</v>
      </c>
      <c r="F137" s="170"/>
      <c r="G137" s="100"/>
      <c r="H137" s="171"/>
      <c r="I137" s="172"/>
      <c r="J137" s="103"/>
      <c r="K137" s="104"/>
      <c r="L137" s="105"/>
      <c r="M137" s="106"/>
    </row>
    <row r="138" spans="1:13" ht="45" x14ac:dyDescent="0.25">
      <c r="A138" s="165" t="s">
        <v>136</v>
      </c>
      <c r="B138" s="166" t="s">
        <v>287</v>
      </c>
      <c r="C138" s="167" t="s">
        <v>288</v>
      </c>
      <c r="D138" s="168" t="s">
        <v>143</v>
      </c>
      <c r="E138" s="169">
        <v>13.7</v>
      </c>
      <c r="F138" s="170">
        <v>396.71</v>
      </c>
      <c r="G138" s="100">
        <f t="shared" si="41"/>
        <v>5434.9269999999997</v>
      </c>
      <c r="H138" s="171">
        <f>-E138</f>
        <v>-13.7</v>
      </c>
      <c r="I138" s="172">
        <f t="shared" si="42"/>
        <v>396.71</v>
      </c>
      <c r="J138" s="103">
        <f t="shared" si="43"/>
        <v>-5434.9269999999997</v>
      </c>
      <c r="K138" s="104">
        <f t="shared" si="44"/>
        <v>0</v>
      </c>
      <c r="L138" s="105">
        <f t="shared" si="45"/>
        <v>396.71</v>
      </c>
      <c r="M138" s="106">
        <f t="shared" si="46"/>
        <v>0</v>
      </c>
    </row>
    <row r="139" spans="1:13" x14ac:dyDescent="0.25">
      <c r="A139" s="165"/>
      <c r="B139" s="166"/>
      <c r="C139" s="173" t="s">
        <v>324</v>
      </c>
      <c r="D139" s="168"/>
      <c r="E139" s="173">
        <f>2.1*6.5</f>
        <v>13.65</v>
      </c>
      <c r="F139" s="170"/>
      <c r="G139" s="100"/>
      <c r="H139" s="171"/>
      <c r="I139" s="172"/>
      <c r="J139" s="103"/>
      <c r="K139" s="104"/>
      <c r="L139" s="105"/>
      <c r="M139" s="106"/>
    </row>
    <row r="140" spans="1:13" x14ac:dyDescent="0.25">
      <c r="A140" s="89" t="s">
        <v>176</v>
      </c>
      <c r="B140" s="90" t="s">
        <v>289</v>
      </c>
      <c r="C140" s="91"/>
      <c r="D140" s="91"/>
      <c r="E140" s="91"/>
      <c r="F140" s="92"/>
      <c r="G140" s="92"/>
      <c r="H140" s="92"/>
      <c r="I140" s="92"/>
      <c r="J140" s="92"/>
      <c r="K140" s="92"/>
      <c r="L140" s="92"/>
      <c r="M140" s="92"/>
    </row>
    <row r="141" spans="1:13" ht="30" x14ac:dyDescent="0.25">
      <c r="A141" s="165">
        <v>85</v>
      </c>
      <c r="B141" s="166" t="s">
        <v>290</v>
      </c>
      <c r="C141" s="167" t="s">
        <v>291</v>
      </c>
      <c r="D141" s="168" t="s">
        <v>219</v>
      </c>
      <c r="E141" s="169">
        <v>534.70000000000005</v>
      </c>
      <c r="F141" s="170">
        <v>55.24</v>
      </c>
      <c r="G141" s="100">
        <f t="shared" si="41"/>
        <v>29536.828000000005</v>
      </c>
      <c r="H141" s="171">
        <f>-8.44-8.44-2</f>
        <v>-18.88</v>
      </c>
      <c r="I141" s="172">
        <f t="shared" si="42"/>
        <v>55.24</v>
      </c>
      <c r="J141" s="103">
        <f t="shared" si="43"/>
        <v>-1042.9312</v>
      </c>
      <c r="K141" s="104">
        <f t="shared" si="44"/>
        <v>515.82000000000005</v>
      </c>
      <c r="L141" s="105">
        <f t="shared" si="45"/>
        <v>55.24</v>
      </c>
      <c r="M141" s="106">
        <f t="shared" si="46"/>
        <v>28493.896800000002</v>
      </c>
    </row>
    <row r="142" spans="1:13" ht="30" x14ac:dyDescent="0.25">
      <c r="A142" s="165" t="s">
        <v>325</v>
      </c>
      <c r="B142" s="166" t="s">
        <v>245</v>
      </c>
      <c r="C142" s="167" t="s">
        <v>246</v>
      </c>
      <c r="D142" s="168" t="s">
        <v>219</v>
      </c>
      <c r="E142" s="169">
        <v>534.70000000000005</v>
      </c>
      <c r="F142" s="170">
        <v>87.65</v>
      </c>
      <c r="G142" s="100">
        <f t="shared" si="41"/>
        <v>46866.455000000009</v>
      </c>
      <c r="H142" s="171">
        <f>-8.44-8.44</f>
        <v>-16.88</v>
      </c>
      <c r="I142" s="172">
        <f t="shared" si="42"/>
        <v>87.65</v>
      </c>
      <c r="J142" s="103">
        <f t="shared" si="43"/>
        <v>-1479.5319999999999</v>
      </c>
      <c r="K142" s="104">
        <f t="shared" si="44"/>
        <v>517.82000000000005</v>
      </c>
      <c r="L142" s="105">
        <f t="shared" si="45"/>
        <v>87.65</v>
      </c>
      <c r="M142" s="106">
        <f t="shared" si="46"/>
        <v>45386.92300000001</v>
      </c>
    </row>
    <row r="143" spans="1:13" x14ac:dyDescent="0.25">
      <c r="A143" s="165"/>
      <c r="B143" s="166"/>
      <c r="C143" s="167"/>
      <c r="D143" s="168"/>
      <c r="E143" s="169"/>
      <c r="F143" s="170"/>
      <c r="G143" s="100"/>
      <c r="H143" s="171"/>
      <c r="I143" s="172"/>
      <c r="J143" s="103"/>
      <c r="K143" s="104"/>
      <c r="L143" s="105"/>
      <c r="M143" s="106"/>
    </row>
    <row r="144" spans="1:13" x14ac:dyDescent="0.25">
      <c r="A144" s="89" t="s">
        <v>293</v>
      </c>
      <c r="B144" s="90" t="s">
        <v>294</v>
      </c>
      <c r="C144" s="91"/>
      <c r="D144" s="91"/>
      <c r="E144" s="91"/>
      <c r="F144" s="92"/>
      <c r="G144" s="92"/>
      <c r="H144" s="92"/>
      <c r="I144" s="92"/>
      <c r="J144" s="92"/>
      <c r="K144" s="92"/>
      <c r="L144" s="92"/>
      <c r="M144" s="92"/>
    </row>
    <row r="145" spans="1:13" ht="30" x14ac:dyDescent="0.25">
      <c r="A145" s="165" t="s">
        <v>241</v>
      </c>
      <c r="B145" s="166" t="s">
        <v>248</v>
      </c>
      <c r="C145" s="167" t="s">
        <v>249</v>
      </c>
      <c r="D145" s="168" t="s">
        <v>192</v>
      </c>
      <c r="E145" s="169">
        <v>284</v>
      </c>
      <c r="F145" s="170">
        <v>51.29</v>
      </c>
      <c r="G145" s="100">
        <f t="shared" si="41"/>
        <v>14566.36</v>
      </c>
      <c r="H145" s="171">
        <f>-E146</f>
        <v>-0.83200000000000007</v>
      </c>
      <c r="I145" s="172">
        <f t="shared" si="42"/>
        <v>51.29</v>
      </c>
      <c r="J145" s="103">
        <f t="shared" si="43"/>
        <v>-42.673280000000005</v>
      </c>
      <c r="K145" s="104">
        <f t="shared" si="44"/>
        <v>283.16800000000001</v>
      </c>
      <c r="L145" s="105">
        <f t="shared" si="45"/>
        <v>51.29</v>
      </c>
      <c r="M145" s="106">
        <f t="shared" si="46"/>
        <v>14523.68672</v>
      </c>
    </row>
    <row r="146" spans="1:13" ht="22.5" x14ac:dyDescent="0.25">
      <c r="A146" s="165"/>
      <c r="B146" s="166"/>
      <c r="C146" s="173" t="s">
        <v>326</v>
      </c>
      <c r="D146" s="168"/>
      <c r="E146" s="173">
        <f>6.5*0.128</f>
        <v>0.83200000000000007</v>
      </c>
      <c r="F146" s="170"/>
      <c r="G146" s="100"/>
      <c r="H146" s="171"/>
      <c r="I146" s="172"/>
      <c r="J146" s="103"/>
      <c r="K146" s="104"/>
      <c r="L146" s="105"/>
      <c r="M146" s="106"/>
    </row>
    <row r="147" spans="1:13" ht="45" x14ac:dyDescent="0.25">
      <c r="A147" s="165" t="s">
        <v>327</v>
      </c>
      <c r="B147" s="166" t="s">
        <v>251</v>
      </c>
      <c r="C147" s="167" t="s">
        <v>252</v>
      </c>
      <c r="D147" s="168" t="s">
        <v>192</v>
      </c>
      <c r="E147" s="169">
        <v>130.5</v>
      </c>
      <c r="F147" s="170">
        <v>257.77999999999997</v>
      </c>
      <c r="G147" s="100">
        <f t="shared" si="41"/>
        <v>33640.289999999994</v>
      </c>
      <c r="H147" s="171">
        <f>-E148</f>
        <v>-0.83200000000000007</v>
      </c>
      <c r="I147" s="172">
        <f t="shared" si="42"/>
        <v>257.77999999999997</v>
      </c>
      <c r="J147" s="103">
        <f t="shared" si="43"/>
        <v>-214.47296</v>
      </c>
      <c r="K147" s="104">
        <f t="shared" si="44"/>
        <v>129.66800000000001</v>
      </c>
      <c r="L147" s="105">
        <f t="shared" si="45"/>
        <v>257.77999999999997</v>
      </c>
      <c r="M147" s="106">
        <f t="shared" si="46"/>
        <v>33425.817040000002</v>
      </c>
    </row>
    <row r="148" spans="1:13" ht="22.5" x14ac:dyDescent="0.25">
      <c r="A148" s="165"/>
      <c r="B148" s="166"/>
      <c r="C148" s="173" t="s">
        <v>326</v>
      </c>
      <c r="D148" s="168"/>
      <c r="E148" s="173">
        <f>6.5*0.128</f>
        <v>0.83200000000000007</v>
      </c>
      <c r="F148" s="170"/>
      <c r="G148" s="100"/>
      <c r="H148" s="171"/>
      <c r="I148" s="172"/>
      <c r="J148" s="103"/>
      <c r="K148" s="104"/>
      <c r="L148" s="105"/>
      <c r="M148" s="106"/>
    </row>
    <row r="149" spans="1:13" ht="30" x14ac:dyDescent="0.25">
      <c r="A149" s="165" t="s">
        <v>198</v>
      </c>
      <c r="B149" s="166" t="s">
        <v>260</v>
      </c>
      <c r="C149" s="167" t="s">
        <v>261</v>
      </c>
      <c r="D149" s="168" t="s">
        <v>192</v>
      </c>
      <c r="E149" s="169">
        <v>284.04329999999999</v>
      </c>
      <c r="F149" s="170">
        <v>40.770000000000003</v>
      </c>
      <c r="G149" s="100">
        <f t="shared" si="41"/>
        <v>11580.445341000001</v>
      </c>
      <c r="H149" s="171">
        <f>-E150</f>
        <v>-0.83200000000000007</v>
      </c>
      <c r="I149" s="172">
        <f t="shared" si="42"/>
        <v>40.770000000000003</v>
      </c>
      <c r="J149" s="103">
        <f t="shared" si="43"/>
        <v>-33.920640000000006</v>
      </c>
      <c r="K149" s="104">
        <f t="shared" si="44"/>
        <v>283.21129999999999</v>
      </c>
      <c r="L149" s="105">
        <f t="shared" si="45"/>
        <v>40.770000000000003</v>
      </c>
      <c r="M149" s="106">
        <f t="shared" si="46"/>
        <v>11546.524701</v>
      </c>
    </row>
    <row r="150" spans="1:13" ht="22.5" x14ac:dyDescent="0.25">
      <c r="A150" s="165"/>
      <c r="B150" s="166"/>
      <c r="C150" s="173" t="s">
        <v>326</v>
      </c>
      <c r="D150" s="168"/>
      <c r="E150" s="173">
        <f>6.5*0.128</f>
        <v>0.83200000000000007</v>
      </c>
      <c r="F150" s="170"/>
      <c r="G150" s="100"/>
      <c r="H150" s="171"/>
      <c r="I150" s="172"/>
      <c r="J150" s="103"/>
      <c r="K150" s="104"/>
      <c r="L150" s="105"/>
      <c r="M150" s="106"/>
    </row>
    <row r="151" spans="1:13" ht="30" x14ac:dyDescent="0.25">
      <c r="A151" s="165" t="s">
        <v>200</v>
      </c>
      <c r="B151" s="166" t="s">
        <v>263</v>
      </c>
      <c r="C151" s="167" t="s">
        <v>261</v>
      </c>
      <c r="D151" s="168" t="s">
        <v>192</v>
      </c>
      <c r="E151" s="169">
        <v>284</v>
      </c>
      <c r="F151" s="170">
        <v>169.7</v>
      </c>
      <c r="G151" s="100">
        <f t="shared" si="41"/>
        <v>48194.799999999996</v>
      </c>
      <c r="H151" s="171">
        <f>-E152</f>
        <v>-0.83200000000000007</v>
      </c>
      <c r="I151" s="172">
        <f t="shared" si="42"/>
        <v>169.7</v>
      </c>
      <c r="J151" s="103">
        <f t="shared" si="43"/>
        <v>-141.19040000000001</v>
      </c>
      <c r="K151" s="104">
        <f t="shared" si="44"/>
        <v>283.16800000000001</v>
      </c>
      <c r="L151" s="105">
        <f t="shared" si="45"/>
        <v>169.7</v>
      </c>
      <c r="M151" s="106">
        <f t="shared" si="46"/>
        <v>48053.609599999996</v>
      </c>
    </row>
    <row r="152" spans="1:13" ht="22.5" x14ac:dyDescent="0.25">
      <c r="A152" s="165"/>
      <c r="B152" s="166"/>
      <c r="C152" s="173" t="s">
        <v>326</v>
      </c>
      <c r="D152" s="168"/>
      <c r="E152" s="173">
        <f>6.5*0.128</f>
        <v>0.83200000000000007</v>
      </c>
      <c r="F152" s="170"/>
      <c r="G152" s="100"/>
      <c r="H152" s="171"/>
      <c r="I152" s="172"/>
      <c r="J152" s="103"/>
      <c r="K152" s="104"/>
      <c r="L152" s="105"/>
      <c r="M152" s="106"/>
    </row>
    <row r="153" spans="1:13" x14ac:dyDescent="0.25">
      <c r="A153" s="174"/>
      <c r="B153" s="174"/>
      <c r="C153" s="177"/>
      <c r="D153" s="164"/>
      <c r="E153" s="178"/>
      <c r="F153" s="175"/>
      <c r="G153" s="116"/>
      <c r="H153" s="159"/>
      <c r="I153" s="160"/>
      <c r="J153" s="103"/>
      <c r="K153" s="161"/>
      <c r="L153" s="162"/>
      <c r="M153" s="154"/>
    </row>
    <row r="154" spans="1:13" ht="15.75" x14ac:dyDescent="0.25">
      <c r="A154" s="121"/>
      <c r="B154" s="122"/>
      <c r="C154" s="123"/>
      <c r="D154" s="121"/>
      <c r="E154" s="124"/>
      <c r="F154" s="125"/>
      <c r="G154" s="116">
        <f>SUBTOTAL(9,G133:G151)</f>
        <v>202919.29334100001</v>
      </c>
      <c r="H154" s="127"/>
      <c r="I154" s="128"/>
      <c r="J154" s="103">
        <f>SUBTOTAL(9,J133:J151)</f>
        <v>-8899.5074799999984</v>
      </c>
      <c r="K154" s="130"/>
      <c r="L154" s="130"/>
      <c r="M154" s="154">
        <f>SUBTOTAL(9,M133:M151)</f>
        <v>194019.78586099998</v>
      </c>
    </row>
    <row r="156" spans="1:13" x14ac:dyDescent="0.25">
      <c r="A156" s="270" t="s">
        <v>328</v>
      </c>
      <c r="B156" s="271"/>
      <c r="C156" s="271"/>
      <c r="D156" s="271"/>
      <c r="E156" s="68"/>
      <c r="F156" s="155"/>
      <c r="G156" s="69"/>
      <c r="H156" s="70"/>
      <c r="I156" s="71"/>
      <c r="J156" s="156"/>
      <c r="K156" s="157"/>
      <c r="L156" s="157"/>
      <c r="M156" s="158"/>
    </row>
    <row r="157" spans="1:13" x14ac:dyDescent="0.25">
      <c r="A157" s="41"/>
      <c r="B157" s="75"/>
      <c r="C157" s="75"/>
      <c r="D157" s="75"/>
      <c r="E157" s="68"/>
      <c r="F157" s="155"/>
      <c r="G157" s="69"/>
      <c r="H157" s="70"/>
      <c r="I157" s="71"/>
      <c r="J157" s="156"/>
      <c r="K157" s="157"/>
      <c r="L157" s="157"/>
      <c r="M157" s="158"/>
    </row>
    <row r="158" spans="1:13" ht="15.75" x14ac:dyDescent="0.25">
      <c r="A158" s="76" t="s">
        <v>48</v>
      </c>
      <c r="B158" s="77" t="s">
        <v>282</v>
      </c>
      <c r="C158" s="75"/>
      <c r="D158" s="75"/>
      <c r="E158" s="265" t="s">
        <v>50</v>
      </c>
      <c r="F158" s="265"/>
      <c r="G158" s="265"/>
      <c r="H158" s="266" t="s">
        <v>51</v>
      </c>
      <c r="I158" s="266"/>
      <c r="J158" s="266"/>
      <c r="K158" s="267" t="s">
        <v>16</v>
      </c>
      <c r="L158" s="267"/>
      <c r="M158" s="267"/>
    </row>
    <row r="159" spans="1:13" ht="24" x14ac:dyDescent="0.25">
      <c r="A159" s="78" t="s">
        <v>52</v>
      </c>
      <c r="B159" s="79" t="s">
        <v>53</v>
      </c>
      <c r="C159" s="78" t="s">
        <v>53</v>
      </c>
      <c r="D159" s="79" t="s">
        <v>54</v>
      </c>
      <c r="E159" s="80" t="s">
        <v>55</v>
      </c>
      <c r="F159" s="81" t="s">
        <v>56</v>
      </c>
      <c r="G159" s="82" t="s">
        <v>57</v>
      </c>
      <c r="H159" s="83" t="s">
        <v>55</v>
      </c>
      <c r="I159" s="84" t="s">
        <v>58</v>
      </c>
      <c r="J159" s="85" t="s">
        <v>57</v>
      </c>
      <c r="K159" s="86" t="s">
        <v>55</v>
      </c>
      <c r="L159" s="87" t="s">
        <v>58</v>
      </c>
      <c r="M159" s="88" t="s">
        <v>59</v>
      </c>
    </row>
    <row r="160" spans="1:13" x14ac:dyDescent="0.25">
      <c r="A160" s="89" t="s">
        <v>60</v>
      </c>
      <c r="B160" s="90" t="s">
        <v>61</v>
      </c>
      <c r="C160" s="91"/>
      <c r="D160" s="91"/>
      <c r="E160" s="91"/>
      <c r="F160" s="92"/>
      <c r="G160" s="93"/>
      <c r="H160" s="94"/>
      <c r="I160" s="94"/>
      <c r="J160" s="94"/>
      <c r="K160" s="93"/>
      <c r="L160" s="93"/>
      <c r="M160" s="93"/>
    </row>
    <row r="161" spans="1:13" ht="30" x14ac:dyDescent="0.25">
      <c r="A161" s="165" t="s">
        <v>154</v>
      </c>
      <c r="B161" s="166" t="s">
        <v>174</v>
      </c>
      <c r="C161" s="167" t="s">
        <v>175</v>
      </c>
      <c r="D161" s="168" t="s">
        <v>143</v>
      </c>
      <c r="E161" s="169">
        <v>13</v>
      </c>
      <c r="F161" s="170">
        <v>55.24</v>
      </c>
      <c r="G161" s="100">
        <f>IF(ISBLANK(F161),"",(E161*F161))</f>
        <v>718.12</v>
      </c>
      <c r="H161" s="171">
        <f>-5</f>
        <v>-5</v>
      </c>
      <c r="I161" s="172">
        <f>F161</f>
        <v>55.24</v>
      </c>
      <c r="J161" s="103">
        <f>IF(ISBLANK(I161),"",(H161*I161))</f>
        <v>-276.2</v>
      </c>
      <c r="K161" s="104">
        <f>E161+H161</f>
        <v>8</v>
      </c>
      <c r="L161" s="105">
        <f>F161</f>
        <v>55.24</v>
      </c>
      <c r="M161" s="106">
        <f t="shared" ref="M161" si="47">IF(ISBLANK(L161),"",(K161*L161))</f>
        <v>441.92</v>
      </c>
    </row>
    <row r="162" spans="1:13" x14ac:dyDescent="0.25">
      <c r="A162" s="89" t="s">
        <v>173</v>
      </c>
      <c r="B162" s="90" t="s">
        <v>207</v>
      </c>
      <c r="C162" s="91"/>
      <c r="D162" s="91"/>
      <c r="E162" s="91"/>
      <c r="F162" s="92"/>
      <c r="G162" s="92"/>
      <c r="H162" s="92"/>
      <c r="I162" s="92"/>
      <c r="J162" s="92"/>
      <c r="K162" s="92"/>
      <c r="L162" s="92"/>
      <c r="M162" s="92"/>
    </row>
    <row r="163" spans="1:13" ht="30" x14ac:dyDescent="0.25">
      <c r="A163" s="165" t="s">
        <v>216</v>
      </c>
      <c r="B163" s="166" t="s">
        <v>141</v>
      </c>
      <c r="C163" s="167" t="s">
        <v>142</v>
      </c>
      <c r="D163" s="168" t="s">
        <v>143</v>
      </c>
      <c r="E163" s="169">
        <v>13</v>
      </c>
      <c r="F163" s="170">
        <v>23.2</v>
      </c>
      <c r="G163" s="100">
        <f t="shared" ref="G163:G174" si="48">IF(ISBLANK(F163),"",(E163*F163))</f>
        <v>301.59999999999997</v>
      </c>
      <c r="H163" s="171">
        <f>-5*1</f>
        <v>-5</v>
      </c>
      <c r="I163" s="172">
        <f t="shared" ref="I163:I174" si="49">F163</f>
        <v>23.2</v>
      </c>
      <c r="J163" s="103">
        <f t="shared" ref="J163:J174" si="50">IF(ISBLANK(I163),"",(H163*I163))</f>
        <v>-116</v>
      </c>
      <c r="K163" s="104">
        <f t="shared" ref="K163:K174" si="51">E163+H163</f>
        <v>8</v>
      </c>
      <c r="L163" s="105">
        <f t="shared" ref="L163:L174" si="52">F163</f>
        <v>23.2</v>
      </c>
      <c r="M163" s="106">
        <f t="shared" ref="M163:M174" si="53">IF(ISBLANK(L163),"",(K163*L163))</f>
        <v>185.6</v>
      </c>
    </row>
    <row r="164" spans="1:13" ht="45" x14ac:dyDescent="0.25">
      <c r="A164" s="165" t="s">
        <v>286</v>
      </c>
      <c r="B164" s="166" t="s">
        <v>287</v>
      </c>
      <c r="C164" s="167" t="s">
        <v>288</v>
      </c>
      <c r="D164" s="168" t="s">
        <v>143</v>
      </c>
      <c r="E164" s="169">
        <v>13</v>
      </c>
      <c r="F164" s="170">
        <v>396.71</v>
      </c>
      <c r="G164" s="100">
        <f t="shared" si="48"/>
        <v>5157.2299999999996</v>
      </c>
      <c r="H164" s="171">
        <f>-5*2.1</f>
        <v>-10.5</v>
      </c>
      <c r="I164" s="172">
        <f t="shared" si="49"/>
        <v>396.71</v>
      </c>
      <c r="J164" s="103">
        <f t="shared" si="50"/>
        <v>-4165.4549999999999</v>
      </c>
      <c r="K164" s="104">
        <f t="shared" si="51"/>
        <v>2.5</v>
      </c>
      <c r="L164" s="105">
        <f t="shared" si="52"/>
        <v>396.71</v>
      </c>
      <c r="M164" s="106">
        <f t="shared" si="53"/>
        <v>991.77499999999998</v>
      </c>
    </row>
    <row r="165" spans="1:13" x14ac:dyDescent="0.25">
      <c r="A165" s="89" t="s">
        <v>176</v>
      </c>
      <c r="B165" s="90" t="s">
        <v>289</v>
      </c>
      <c r="C165" s="91"/>
      <c r="D165" s="91"/>
      <c r="E165" s="91"/>
      <c r="F165" s="92"/>
      <c r="G165" s="92"/>
      <c r="H165" s="92"/>
      <c r="I165" s="92"/>
      <c r="J165" s="92"/>
      <c r="K165" s="92"/>
      <c r="L165" s="92"/>
      <c r="M165" s="92"/>
    </row>
    <row r="166" spans="1:13" ht="30" x14ac:dyDescent="0.25">
      <c r="A166" s="165" t="s">
        <v>228</v>
      </c>
      <c r="B166" s="166" t="s">
        <v>242</v>
      </c>
      <c r="C166" s="167" t="s">
        <v>243</v>
      </c>
      <c r="D166" s="168" t="s">
        <v>219</v>
      </c>
      <c r="E166" s="169">
        <v>12.4</v>
      </c>
      <c r="F166" s="170">
        <v>149.94</v>
      </c>
      <c r="G166" s="100">
        <f t="shared" si="48"/>
        <v>1859.2560000000001</v>
      </c>
      <c r="H166" s="171">
        <f t="shared" ref="H166" si="54">-E166</f>
        <v>-12.4</v>
      </c>
      <c r="I166" s="172">
        <f t="shared" si="49"/>
        <v>149.94</v>
      </c>
      <c r="J166" s="103">
        <f t="shared" si="50"/>
        <v>-1859.2560000000001</v>
      </c>
      <c r="K166" s="104">
        <f t="shared" si="51"/>
        <v>0</v>
      </c>
      <c r="L166" s="105">
        <f t="shared" si="52"/>
        <v>149.94</v>
      </c>
      <c r="M166" s="106">
        <f t="shared" si="53"/>
        <v>0</v>
      </c>
    </row>
    <row r="167" spans="1:13" x14ac:dyDescent="0.25">
      <c r="A167" s="89" t="s">
        <v>293</v>
      </c>
      <c r="B167" s="90" t="s">
        <v>294</v>
      </c>
      <c r="C167" s="91"/>
      <c r="D167" s="91"/>
      <c r="E167" s="91"/>
      <c r="F167" s="92"/>
      <c r="G167" s="92"/>
      <c r="H167" s="92"/>
      <c r="I167" s="92"/>
      <c r="J167" s="92"/>
      <c r="K167" s="92"/>
      <c r="L167" s="92"/>
      <c r="M167" s="92"/>
    </row>
    <row r="168" spans="1:13" ht="30" x14ac:dyDescent="0.25">
      <c r="A168" s="165" t="s">
        <v>231</v>
      </c>
      <c r="B168" s="166" t="s">
        <v>248</v>
      </c>
      <c r="C168" s="167" t="s">
        <v>249</v>
      </c>
      <c r="D168" s="168" t="s">
        <v>192</v>
      </c>
      <c r="E168" s="169">
        <v>8.1999999999999993</v>
      </c>
      <c r="F168" s="170">
        <v>51.29</v>
      </c>
      <c r="G168" s="100">
        <f t="shared" si="48"/>
        <v>420.57799999999997</v>
      </c>
      <c r="H168" s="171">
        <f>-E169</f>
        <v>-0.64</v>
      </c>
      <c r="I168" s="172">
        <f t="shared" si="49"/>
        <v>51.29</v>
      </c>
      <c r="J168" s="103">
        <f t="shared" si="50"/>
        <v>-32.825600000000001</v>
      </c>
      <c r="K168" s="104">
        <f t="shared" si="51"/>
        <v>7.56</v>
      </c>
      <c r="L168" s="105">
        <f t="shared" si="52"/>
        <v>51.29</v>
      </c>
      <c r="M168" s="106">
        <f t="shared" si="53"/>
        <v>387.75239999999997</v>
      </c>
    </row>
    <row r="169" spans="1:13" x14ac:dyDescent="0.25">
      <c r="A169" s="165"/>
      <c r="B169" s="166"/>
      <c r="C169" s="173" t="s">
        <v>329</v>
      </c>
      <c r="D169" s="168"/>
      <c r="E169" s="173">
        <f>5*0.128</f>
        <v>0.64</v>
      </c>
      <c r="F169" s="170"/>
      <c r="G169" s="100"/>
      <c r="H169" s="171"/>
      <c r="I169" s="172"/>
      <c r="J169" s="103"/>
      <c r="K169" s="104"/>
      <c r="L169" s="105"/>
      <c r="M169" s="106"/>
    </row>
    <row r="170" spans="1:13" ht="45" x14ac:dyDescent="0.25">
      <c r="A170" s="165" t="s">
        <v>234</v>
      </c>
      <c r="B170" s="166" t="s">
        <v>251</v>
      </c>
      <c r="C170" s="167" t="s">
        <v>252</v>
      </c>
      <c r="D170" s="168" t="s">
        <v>192</v>
      </c>
      <c r="E170" s="169">
        <v>3.2</v>
      </c>
      <c r="F170" s="170">
        <v>257.77999999999997</v>
      </c>
      <c r="G170" s="100">
        <f t="shared" si="48"/>
        <v>824.89599999999996</v>
      </c>
      <c r="H170" s="171">
        <f>-E171</f>
        <v>-0.64</v>
      </c>
      <c r="I170" s="172">
        <f t="shared" si="49"/>
        <v>257.77999999999997</v>
      </c>
      <c r="J170" s="103">
        <f t="shared" si="50"/>
        <v>-164.97919999999999</v>
      </c>
      <c r="K170" s="104">
        <f t="shared" si="51"/>
        <v>2.56</v>
      </c>
      <c r="L170" s="105">
        <f t="shared" si="52"/>
        <v>257.77999999999997</v>
      </c>
      <c r="M170" s="106">
        <f t="shared" si="53"/>
        <v>659.91679999999997</v>
      </c>
    </row>
    <row r="171" spans="1:13" x14ac:dyDescent="0.25">
      <c r="A171" s="165"/>
      <c r="B171" s="166"/>
      <c r="C171" s="173" t="s">
        <v>329</v>
      </c>
      <c r="D171" s="168"/>
      <c r="E171" s="173">
        <f>5*0.128</f>
        <v>0.64</v>
      </c>
      <c r="F171" s="170"/>
      <c r="G171" s="100"/>
      <c r="H171" s="171"/>
      <c r="I171" s="172"/>
      <c r="J171" s="103"/>
      <c r="K171" s="104"/>
      <c r="L171" s="105"/>
      <c r="M171" s="106"/>
    </row>
    <row r="172" spans="1:13" ht="30" x14ac:dyDescent="0.25">
      <c r="A172" s="165" t="s">
        <v>237</v>
      </c>
      <c r="B172" s="166" t="s">
        <v>260</v>
      </c>
      <c r="C172" s="167" t="s">
        <v>261</v>
      </c>
      <c r="D172" s="168" t="s">
        <v>192</v>
      </c>
      <c r="E172" s="169">
        <v>8.1920000000000002</v>
      </c>
      <c r="F172" s="170">
        <v>40.770000000000003</v>
      </c>
      <c r="G172" s="100">
        <f t="shared" si="48"/>
        <v>333.98784000000001</v>
      </c>
      <c r="H172" s="171">
        <f>-E173</f>
        <v>-0.64</v>
      </c>
      <c r="I172" s="172">
        <f t="shared" si="49"/>
        <v>40.770000000000003</v>
      </c>
      <c r="J172" s="103">
        <f t="shared" si="50"/>
        <v>-26.092800000000004</v>
      </c>
      <c r="K172" s="104">
        <f t="shared" si="51"/>
        <v>7.5520000000000005</v>
      </c>
      <c r="L172" s="105">
        <f t="shared" si="52"/>
        <v>40.770000000000003</v>
      </c>
      <c r="M172" s="106">
        <f t="shared" si="53"/>
        <v>307.89504000000005</v>
      </c>
    </row>
    <row r="173" spans="1:13" x14ac:dyDescent="0.25">
      <c r="A173" s="165"/>
      <c r="B173" s="166"/>
      <c r="C173" s="173" t="s">
        <v>329</v>
      </c>
      <c r="D173" s="168"/>
      <c r="E173" s="173">
        <f>5*0.128</f>
        <v>0.64</v>
      </c>
      <c r="F173" s="170"/>
      <c r="G173" s="100"/>
      <c r="H173" s="171"/>
      <c r="I173" s="172"/>
      <c r="J173" s="103"/>
      <c r="K173" s="104"/>
      <c r="L173" s="105"/>
      <c r="M173" s="106"/>
    </row>
    <row r="174" spans="1:13" ht="30" x14ac:dyDescent="0.25">
      <c r="A174" s="165" t="s">
        <v>325</v>
      </c>
      <c r="B174" s="166" t="s">
        <v>263</v>
      </c>
      <c r="C174" s="167" t="s">
        <v>261</v>
      </c>
      <c r="D174" s="168" t="s">
        <v>192</v>
      </c>
      <c r="E174" s="169">
        <v>8.1999999999999993</v>
      </c>
      <c r="F174" s="170">
        <v>156.19999999999999</v>
      </c>
      <c r="G174" s="100">
        <f t="shared" si="48"/>
        <v>1280.8399999999997</v>
      </c>
      <c r="H174" s="171">
        <f>-E175</f>
        <v>-0.64</v>
      </c>
      <c r="I174" s="172">
        <f t="shared" si="49"/>
        <v>156.19999999999999</v>
      </c>
      <c r="J174" s="103">
        <f t="shared" si="50"/>
        <v>-99.967999999999989</v>
      </c>
      <c r="K174" s="104">
        <f t="shared" si="51"/>
        <v>7.56</v>
      </c>
      <c r="L174" s="105">
        <f t="shared" si="52"/>
        <v>156.19999999999999</v>
      </c>
      <c r="M174" s="106">
        <f t="shared" si="53"/>
        <v>1180.8719999999998</v>
      </c>
    </row>
    <row r="175" spans="1:13" x14ac:dyDescent="0.25">
      <c r="A175" s="165"/>
      <c r="B175" s="166"/>
      <c r="C175" s="173" t="s">
        <v>329</v>
      </c>
      <c r="D175" s="168"/>
      <c r="E175" s="173">
        <f>5*0.128</f>
        <v>0.64</v>
      </c>
      <c r="F175" s="170"/>
      <c r="G175" s="100"/>
      <c r="H175" s="171"/>
      <c r="I175" s="172"/>
      <c r="J175" s="103"/>
      <c r="K175" s="104"/>
      <c r="L175" s="105"/>
      <c r="M175" s="106"/>
    </row>
    <row r="176" spans="1:13" x14ac:dyDescent="0.25">
      <c r="A176" s="174"/>
      <c r="B176" s="174"/>
      <c r="C176" s="177"/>
      <c r="D176" s="164"/>
      <c r="E176" s="178"/>
      <c r="F176" s="175"/>
      <c r="G176" s="116"/>
      <c r="H176" s="159"/>
      <c r="I176" s="160"/>
      <c r="J176" s="103"/>
      <c r="K176" s="161"/>
      <c r="L176" s="162"/>
      <c r="M176" s="154"/>
    </row>
    <row r="177" spans="1:13" ht="15.75" x14ac:dyDescent="0.25">
      <c r="A177" s="121"/>
      <c r="B177" s="122"/>
      <c r="C177" s="123"/>
      <c r="D177" s="121"/>
      <c r="E177" s="124"/>
      <c r="F177" s="125"/>
      <c r="G177" s="116">
        <f>SUBTOTAL(9,G161:G174)</f>
        <v>10896.50784</v>
      </c>
      <c r="H177" s="127"/>
      <c r="I177" s="128"/>
      <c r="J177" s="103">
        <f>SUBTOTAL(9,J161:J174)</f>
        <v>-6740.7766000000001</v>
      </c>
      <c r="K177" s="130"/>
      <c r="L177" s="130"/>
      <c r="M177" s="154">
        <f>SUBTOTAL(9,M161:M174)</f>
        <v>4155.7312399999992</v>
      </c>
    </row>
    <row r="179" spans="1:13" x14ac:dyDescent="0.25">
      <c r="A179" s="270" t="s">
        <v>330</v>
      </c>
      <c r="B179" s="271"/>
      <c r="C179" s="271"/>
      <c r="D179" s="271"/>
      <c r="E179" s="68"/>
      <c r="F179" s="155"/>
      <c r="G179" s="69"/>
      <c r="H179" s="70"/>
      <c r="I179" s="71"/>
      <c r="J179" s="156"/>
      <c r="K179" s="157"/>
      <c r="L179" s="157"/>
      <c r="M179" s="158"/>
    </row>
    <row r="180" spans="1:13" x14ac:dyDescent="0.25">
      <c r="A180" s="41"/>
      <c r="B180" s="75"/>
      <c r="C180" s="75"/>
      <c r="D180" s="75"/>
      <c r="E180" s="68"/>
      <c r="F180" s="155"/>
      <c r="G180" s="69"/>
      <c r="H180" s="70"/>
      <c r="I180" s="71"/>
      <c r="J180" s="156"/>
      <c r="K180" s="157"/>
      <c r="L180" s="157"/>
      <c r="M180" s="158"/>
    </row>
    <row r="181" spans="1:13" ht="15.75" x14ac:dyDescent="0.25">
      <c r="A181" s="76" t="s">
        <v>48</v>
      </c>
      <c r="B181" s="77" t="s">
        <v>282</v>
      </c>
      <c r="C181" s="75"/>
      <c r="D181" s="75"/>
      <c r="E181" s="265" t="s">
        <v>50</v>
      </c>
      <c r="F181" s="265"/>
      <c r="G181" s="265"/>
      <c r="H181" s="266" t="s">
        <v>51</v>
      </c>
      <c r="I181" s="266"/>
      <c r="J181" s="266"/>
      <c r="K181" s="267" t="s">
        <v>16</v>
      </c>
      <c r="L181" s="267"/>
      <c r="M181" s="267"/>
    </row>
    <row r="182" spans="1:13" ht="24" x14ac:dyDescent="0.25">
      <c r="A182" s="78" t="s">
        <v>52</v>
      </c>
      <c r="B182" s="79" t="s">
        <v>53</v>
      </c>
      <c r="C182" s="78" t="s">
        <v>53</v>
      </c>
      <c r="D182" s="79" t="s">
        <v>54</v>
      </c>
      <c r="E182" s="80" t="s">
        <v>55</v>
      </c>
      <c r="F182" s="81" t="s">
        <v>56</v>
      </c>
      <c r="G182" s="82" t="s">
        <v>57</v>
      </c>
      <c r="H182" s="83" t="s">
        <v>55</v>
      </c>
      <c r="I182" s="84" t="s">
        <v>58</v>
      </c>
      <c r="J182" s="85" t="s">
        <v>57</v>
      </c>
      <c r="K182" s="86" t="s">
        <v>55</v>
      </c>
      <c r="L182" s="87" t="s">
        <v>58</v>
      </c>
      <c r="M182" s="88" t="s">
        <v>59</v>
      </c>
    </row>
    <row r="183" spans="1:13" x14ac:dyDescent="0.25">
      <c r="A183" s="89" t="s">
        <v>60</v>
      </c>
      <c r="B183" s="90" t="s">
        <v>61</v>
      </c>
      <c r="C183" s="91"/>
      <c r="D183" s="91"/>
      <c r="E183" s="91"/>
      <c r="F183" s="92"/>
      <c r="G183" s="93"/>
      <c r="H183" s="94"/>
      <c r="I183" s="94"/>
      <c r="J183" s="94"/>
      <c r="K183" s="93"/>
      <c r="L183" s="93"/>
      <c r="M183" s="93"/>
    </row>
    <row r="184" spans="1:13" ht="30" x14ac:dyDescent="0.25">
      <c r="A184" s="165" t="s">
        <v>60</v>
      </c>
      <c r="B184" s="166" t="s">
        <v>331</v>
      </c>
      <c r="C184" s="167" t="s">
        <v>332</v>
      </c>
      <c r="D184" s="168" t="s">
        <v>143</v>
      </c>
      <c r="E184" s="169">
        <v>2089.4</v>
      </c>
      <c r="F184" s="170">
        <v>55.24</v>
      </c>
      <c r="G184" s="100">
        <f>IF(ISBLANK(F184),"",(E184*F184))</f>
        <v>115418.45600000001</v>
      </c>
      <c r="H184" s="171">
        <f>-E184</f>
        <v>-2089.4</v>
      </c>
      <c r="I184" s="172">
        <f>F184</f>
        <v>55.24</v>
      </c>
      <c r="J184" s="103">
        <f>IF(ISBLANK(I184),"",(H184*I184))</f>
        <v>-115418.45600000001</v>
      </c>
      <c r="K184" s="104">
        <f>E184+H184</f>
        <v>0</v>
      </c>
      <c r="L184" s="105">
        <f>F184</f>
        <v>55.24</v>
      </c>
      <c r="M184" s="106">
        <f t="shared" ref="M184" si="55">IF(ISBLANK(L184),"",(K184*L184))</f>
        <v>0</v>
      </c>
    </row>
    <row r="185" spans="1:13" x14ac:dyDescent="0.25">
      <c r="A185" s="89" t="s">
        <v>173</v>
      </c>
      <c r="B185" s="90" t="s">
        <v>207</v>
      </c>
      <c r="C185" s="91"/>
      <c r="D185" s="91"/>
      <c r="E185" s="91"/>
      <c r="F185" s="92"/>
      <c r="G185" s="93"/>
      <c r="H185" s="93"/>
      <c r="I185" s="93"/>
      <c r="J185" s="93"/>
      <c r="K185" s="93"/>
      <c r="L185" s="93"/>
      <c r="M185" s="93"/>
    </row>
    <row r="186" spans="1:13" ht="30" x14ac:dyDescent="0.25">
      <c r="A186" s="165" t="s">
        <v>203</v>
      </c>
      <c r="B186" s="166" t="s">
        <v>141</v>
      </c>
      <c r="C186" s="167" t="s">
        <v>142</v>
      </c>
      <c r="D186" s="168" t="s">
        <v>143</v>
      </c>
      <c r="E186" s="169">
        <v>2089.4</v>
      </c>
      <c r="F186" s="170">
        <v>23.2</v>
      </c>
      <c r="G186" s="100">
        <f t="shared" ref="G186:G190" si="56">IF(ISBLANK(F186),"",(E186*F186))</f>
        <v>48474.080000000002</v>
      </c>
      <c r="H186" s="171">
        <f t="shared" ref="H186:H195" si="57">-E186</f>
        <v>-2089.4</v>
      </c>
      <c r="I186" s="172">
        <f>F186</f>
        <v>23.2</v>
      </c>
      <c r="J186" s="103">
        <f t="shared" ref="J186:J195" si="58">IF(ISBLANK(I186),"",(H186*I186))</f>
        <v>-48474.080000000002</v>
      </c>
      <c r="K186" s="104">
        <f t="shared" ref="K186:K195" si="59">E186+H186</f>
        <v>0</v>
      </c>
      <c r="L186" s="105">
        <f t="shared" ref="L186:L195" si="60">F186</f>
        <v>23.2</v>
      </c>
      <c r="M186" s="106">
        <f t="shared" ref="M186:M195" si="61">IF(ISBLANK(L186),"",(K186*L186))</f>
        <v>0</v>
      </c>
    </row>
    <row r="187" spans="1:13" ht="45" x14ac:dyDescent="0.25">
      <c r="A187" s="165" t="s">
        <v>173</v>
      </c>
      <c r="B187" s="166" t="s">
        <v>333</v>
      </c>
      <c r="C187" s="167" t="s">
        <v>334</v>
      </c>
      <c r="D187" s="168" t="s">
        <v>143</v>
      </c>
      <c r="E187" s="169">
        <v>2089.4</v>
      </c>
      <c r="F187" s="170">
        <v>396.71</v>
      </c>
      <c r="G187" s="100">
        <f t="shared" si="56"/>
        <v>828885.87399999995</v>
      </c>
      <c r="H187" s="171">
        <f t="shared" si="57"/>
        <v>-2089.4</v>
      </c>
      <c r="I187" s="172">
        <f>F187</f>
        <v>396.71</v>
      </c>
      <c r="J187" s="103">
        <f t="shared" si="58"/>
        <v>-828885.87399999995</v>
      </c>
      <c r="K187" s="104">
        <f t="shared" si="59"/>
        <v>0</v>
      </c>
      <c r="L187" s="105">
        <f t="shared" si="60"/>
        <v>396.71</v>
      </c>
      <c r="M187" s="106">
        <f t="shared" si="61"/>
        <v>0</v>
      </c>
    </row>
    <row r="188" spans="1:13" x14ac:dyDescent="0.25">
      <c r="A188" s="89" t="s">
        <v>176</v>
      </c>
      <c r="B188" s="90" t="s">
        <v>289</v>
      </c>
      <c r="C188" s="91"/>
      <c r="D188" s="91"/>
      <c r="E188" s="91"/>
      <c r="F188" s="92"/>
      <c r="G188" s="93"/>
      <c r="H188" s="93"/>
      <c r="I188" s="93"/>
      <c r="J188" s="93"/>
      <c r="K188" s="93"/>
      <c r="L188" s="93"/>
      <c r="M188" s="93"/>
    </row>
    <row r="189" spans="1:13" ht="30" x14ac:dyDescent="0.25">
      <c r="A189" s="165" t="s">
        <v>335</v>
      </c>
      <c r="B189" s="166" t="s">
        <v>290</v>
      </c>
      <c r="C189" s="167" t="s">
        <v>291</v>
      </c>
      <c r="D189" s="168" t="s">
        <v>219</v>
      </c>
      <c r="E189" s="169">
        <v>496.2</v>
      </c>
      <c r="F189" s="170">
        <v>55.24</v>
      </c>
      <c r="G189" s="100">
        <f t="shared" si="56"/>
        <v>27410.088</v>
      </c>
      <c r="H189" s="171">
        <f t="shared" si="57"/>
        <v>-496.2</v>
      </c>
      <c r="I189" s="172">
        <f t="shared" ref="I189:I190" si="62">F189</f>
        <v>55.24</v>
      </c>
      <c r="J189" s="103">
        <f t="shared" si="58"/>
        <v>-27410.088</v>
      </c>
      <c r="K189" s="104">
        <f t="shared" si="59"/>
        <v>0</v>
      </c>
      <c r="L189" s="105">
        <f t="shared" si="60"/>
        <v>55.24</v>
      </c>
      <c r="M189" s="106">
        <f t="shared" si="61"/>
        <v>0</v>
      </c>
    </row>
    <row r="190" spans="1:13" ht="30" x14ac:dyDescent="0.25">
      <c r="A190" s="165" t="s">
        <v>213</v>
      </c>
      <c r="B190" s="166" t="s">
        <v>245</v>
      </c>
      <c r="C190" s="167" t="s">
        <v>246</v>
      </c>
      <c r="D190" s="168" t="s">
        <v>219</v>
      </c>
      <c r="E190" s="169">
        <v>496.2</v>
      </c>
      <c r="F190" s="170">
        <v>87.65</v>
      </c>
      <c r="G190" s="100">
        <f t="shared" si="56"/>
        <v>43491.93</v>
      </c>
      <c r="H190" s="171">
        <f t="shared" si="57"/>
        <v>-496.2</v>
      </c>
      <c r="I190" s="172">
        <f t="shared" si="62"/>
        <v>87.65</v>
      </c>
      <c r="J190" s="103">
        <f t="shared" si="58"/>
        <v>-43491.93</v>
      </c>
      <c r="K190" s="104">
        <f t="shared" si="59"/>
        <v>0</v>
      </c>
      <c r="L190" s="105">
        <f t="shared" si="60"/>
        <v>87.65</v>
      </c>
      <c r="M190" s="106">
        <f t="shared" si="61"/>
        <v>0</v>
      </c>
    </row>
    <row r="191" spans="1:13" x14ac:dyDescent="0.25">
      <c r="A191" s="89" t="s">
        <v>293</v>
      </c>
      <c r="B191" s="90" t="s">
        <v>294</v>
      </c>
      <c r="C191" s="91"/>
      <c r="D191" s="91"/>
      <c r="E191" s="91"/>
      <c r="F191" s="92"/>
      <c r="G191" s="93"/>
      <c r="H191" s="93"/>
      <c r="I191" s="93"/>
      <c r="J191" s="93"/>
      <c r="K191" s="93"/>
      <c r="L191" s="93"/>
      <c r="M191" s="93"/>
    </row>
    <row r="192" spans="1:13" ht="30" x14ac:dyDescent="0.25">
      <c r="A192" s="165" t="s">
        <v>62</v>
      </c>
      <c r="B192" s="166" t="s">
        <v>248</v>
      </c>
      <c r="C192" s="167" t="s">
        <v>249</v>
      </c>
      <c r="D192" s="168" t="s">
        <v>192</v>
      </c>
      <c r="E192" s="169">
        <v>267.39999999999998</v>
      </c>
      <c r="F192" s="170">
        <v>51.29</v>
      </c>
      <c r="G192" s="100">
        <f t="shared" ref="G192:G195" si="63">IF(ISBLANK(F192),"",(E192*F192))</f>
        <v>13714.945999999998</v>
      </c>
      <c r="H192" s="171">
        <f t="shared" si="57"/>
        <v>-267.39999999999998</v>
      </c>
      <c r="I192" s="172">
        <f>F192</f>
        <v>51.29</v>
      </c>
      <c r="J192" s="103">
        <f t="shared" si="58"/>
        <v>-13714.945999999998</v>
      </c>
      <c r="K192" s="104">
        <f t="shared" si="59"/>
        <v>0</v>
      </c>
      <c r="L192" s="105">
        <f t="shared" si="60"/>
        <v>51.29</v>
      </c>
      <c r="M192" s="106">
        <f t="shared" si="61"/>
        <v>0</v>
      </c>
    </row>
    <row r="193" spans="1:13" ht="45" x14ac:dyDescent="0.25">
      <c r="A193" s="165" t="s">
        <v>176</v>
      </c>
      <c r="B193" s="166" t="s">
        <v>251</v>
      </c>
      <c r="C193" s="167" t="s">
        <v>252</v>
      </c>
      <c r="D193" s="168" t="s">
        <v>192</v>
      </c>
      <c r="E193" s="169">
        <v>267.39999999999998</v>
      </c>
      <c r="F193" s="170">
        <v>257.77999999999997</v>
      </c>
      <c r="G193" s="100">
        <f t="shared" si="63"/>
        <v>68930.371999999988</v>
      </c>
      <c r="H193" s="171">
        <f t="shared" si="57"/>
        <v>-267.39999999999998</v>
      </c>
      <c r="I193" s="172">
        <f t="shared" ref="I193:I195" si="64">F193</f>
        <v>257.77999999999997</v>
      </c>
      <c r="J193" s="103">
        <f t="shared" si="58"/>
        <v>-68930.371999999988</v>
      </c>
      <c r="K193" s="104">
        <f t="shared" si="59"/>
        <v>0</v>
      </c>
      <c r="L193" s="105">
        <f t="shared" si="60"/>
        <v>257.77999999999997</v>
      </c>
      <c r="M193" s="106">
        <f t="shared" si="61"/>
        <v>0</v>
      </c>
    </row>
    <row r="194" spans="1:13" ht="30" x14ac:dyDescent="0.25">
      <c r="A194" s="165" t="s">
        <v>336</v>
      </c>
      <c r="B194" s="166" t="s">
        <v>260</v>
      </c>
      <c r="C194" s="167" t="s">
        <v>261</v>
      </c>
      <c r="D194" s="168" t="s">
        <v>192</v>
      </c>
      <c r="E194" s="169">
        <v>267.44319999999999</v>
      </c>
      <c r="F194" s="170">
        <v>40.770000000000003</v>
      </c>
      <c r="G194" s="100">
        <f t="shared" si="63"/>
        <v>10903.659264</v>
      </c>
      <c r="H194" s="171">
        <f t="shared" si="57"/>
        <v>-267.44319999999999</v>
      </c>
      <c r="I194" s="172">
        <f t="shared" si="64"/>
        <v>40.770000000000003</v>
      </c>
      <c r="J194" s="103">
        <f t="shared" si="58"/>
        <v>-10903.659264</v>
      </c>
      <c r="K194" s="104">
        <f t="shared" si="59"/>
        <v>0</v>
      </c>
      <c r="L194" s="105">
        <f t="shared" si="60"/>
        <v>40.770000000000003</v>
      </c>
      <c r="M194" s="106">
        <f t="shared" si="61"/>
        <v>0</v>
      </c>
    </row>
    <row r="195" spans="1:13" ht="30" x14ac:dyDescent="0.25">
      <c r="A195" s="165" t="s">
        <v>150</v>
      </c>
      <c r="B195" s="166" t="s">
        <v>263</v>
      </c>
      <c r="C195" s="167" t="s">
        <v>261</v>
      </c>
      <c r="D195" s="168" t="s">
        <v>192</v>
      </c>
      <c r="E195" s="169">
        <v>267.39999999999998</v>
      </c>
      <c r="F195" s="170">
        <v>274.88</v>
      </c>
      <c r="G195" s="100">
        <f t="shared" si="63"/>
        <v>73502.911999999997</v>
      </c>
      <c r="H195" s="171">
        <f t="shared" si="57"/>
        <v>-267.39999999999998</v>
      </c>
      <c r="I195" s="172">
        <f t="shared" si="64"/>
        <v>274.88</v>
      </c>
      <c r="J195" s="103">
        <f t="shared" si="58"/>
        <v>-73502.911999999997</v>
      </c>
      <c r="K195" s="104">
        <f t="shared" si="59"/>
        <v>0</v>
      </c>
      <c r="L195" s="105">
        <f t="shared" si="60"/>
        <v>274.88</v>
      </c>
      <c r="M195" s="106">
        <f t="shared" si="61"/>
        <v>0</v>
      </c>
    </row>
    <row r="196" spans="1:13" x14ac:dyDescent="0.25">
      <c r="A196" s="165"/>
      <c r="B196" s="166"/>
      <c r="C196" s="167"/>
      <c r="D196" s="168"/>
      <c r="E196" s="169"/>
      <c r="F196" s="170"/>
      <c r="G196" s="100"/>
      <c r="H196" s="171"/>
      <c r="I196" s="172"/>
      <c r="J196" s="103"/>
      <c r="K196" s="104"/>
      <c r="L196" s="105"/>
      <c r="M196" s="106"/>
    </row>
    <row r="197" spans="1:13" x14ac:dyDescent="0.25">
      <c r="A197" s="114"/>
      <c r="B197" s="114"/>
      <c r="C197" s="173"/>
      <c r="D197" s="114"/>
      <c r="E197" s="115"/>
      <c r="F197" s="114"/>
      <c r="G197" s="116">
        <f>SUBTOTAL(9,G183:G195)</f>
        <v>1230732.3172639997</v>
      </c>
      <c r="H197" s="159"/>
      <c r="I197" s="160"/>
      <c r="J197" s="103">
        <f>SUBTOTAL(9,J183:J195)</f>
        <v>-1230732.3172639997</v>
      </c>
      <c r="K197" s="161"/>
      <c r="L197" s="162"/>
      <c r="M197" s="154">
        <f>SUBTOTAL(9,M183:M195)</f>
        <v>0</v>
      </c>
    </row>
    <row r="199" spans="1:13" x14ac:dyDescent="0.25">
      <c r="A199" s="270" t="s">
        <v>337</v>
      </c>
      <c r="B199" s="271"/>
      <c r="C199" s="271"/>
      <c r="D199" s="271"/>
      <c r="E199" s="68"/>
      <c r="F199" s="155"/>
      <c r="G199" s="69"/>
      <c r="H199" s="70"/>
      <c r="I199" s="71"/>
      <c r="J199" s="156"/>
      <c r="K199" s="157"/>
      <c r="L199" s="157"/>
      <c r="M199" s="158"/>
    </row>
    <row r="200" spans="1:13" x14ac:dyDescent="0.25">
      <c r="A200" s="41"/>
      <c r="B200" s="75"/>
      <c r="C200" s="75"/>
      <c r="D200" s="75"/>
      <c r="E200" s="68"/>
      <c r="F200" s="155"/>
      <c r="G200" s="69"/>
      <c r="H200" s="70"/>
      <c r="I200" s="71"/>
      <c r="J200" s="156"/>
      <c r="K200" s="157"/>
      <c r="L200" s="157"/>
      <c r="M200" s="158"/>
    </row>
    <row r="201" spans="1:13" ht="15.75" x14ac:dyDescent="0.25">
      <c r="A201" s="76" t="s">
        <v>48</v>
      </c>
      <c r="B201" s="77" t="s">
        <v>282</v>
      </c>
      <c r="C201" s="75"/>
      <c r="D201" s="75"/>
      <c r="E201" s="265" t="s">
        <v>50</v>
      </c>
      <c r="F201" s="265"/>
      <c r="G201" s="265"/>
      <c r="H201" s="266" t="s">
        <v>51</v>
      </c>
      <c r="I201" s="266"/>
      <c r="J201" s="266"/>
      <c r="K201" s="267" t="s">
        <v>16</v>
      </c>
      <c r="L201" s="267"/>
      <c r="M201" s="267"/>
    </row>
    <row r="202" spans="1:13" ht="24" x14ac:dyDescent="0.25">
      <c r="A202" s="78" t="s">
        <v>52</v>
      </c>
      <c r="B202" s="79" t="s">
        <v>53</v>
      </c>
      <c r="C202" s="78" t="s">
        <v>53</v>
      </c>
      <c r="D202" s="79" t="s">
        <v>54</v>
      </c>
      <c r="E202" s="80" t="s">
        <v>55</v>
      </c>
      <c r="F202" s="81" t="s">
        <v>56</v>
      </c>
      <c r="G202" s="82" t="s">
        <v>57</v>
      </c>
      <c r="H202" s="83" t="s">
        <v>55</v>
      </c>
      <c r="I202" s="84" t="s">
        <v>58</v>
      </c>
      <c r="J202" s="85" t="s">
        <v>57</v>
      </c>
      <c r="K202" s="86" t="s">
        <v>55</v>
      </c>
      <c r="L202" s="87" t="s">
        <v>58</v>
      </c>
      <c r="M202" s="88" t="s">
        <v>59</v>
      </c>
    </row>
    <row r="203" spans="1:13" x14ac:dyDescent="0.25">
      <c r="A203" s="89" t="s">
        <v>60</v>
      </c>
      <c r="B203" s="90" t="s">
        <v>61</v>
      </c>
      <c r="C203" s="91"/>
      <c r="D203" s="91"/>
      <c r="E203" s="91"/>
      <c r="F203" s="92"/>
      <c r="G203" s="93"/>
      <c r="H203" s="94"/>
      <c r="I203" s="94"/>
      <c r="J203" s="94"/>
      <c r="K203" s="93"/>
      <c r="L203" s="93"/>
      <c r="M203" s="93"/>
    </row>
    <row r="204" spans="1:13" ht="30" x14ac:dyDescent="0.25">
      <c r="A204" s="165" t="s">
        <v>170</v>
      </c>
      <c r="B204" s="166" t="s">
        <v>174</v>
      </c>
      <c r="C204" s="167" t="s">
        <v>175</v>
      </c>
      <c r="D204" s="168" t="s">
        <v>143</v>
      </c>
      <c r="E204" s="169">
        <v>7.7</v>
      </c>
      <c r="F204" s="170">
        <v>55.24</v>
      </c>
      <c r="G204" s="100">
        <f>IF(ISBLANK(F204),"",(E204*F204))</f>
        <v>425.34800000000001</v>
      </c>
      <c r="H204" s="171">
        <f>-E204</f>
        <v>-7.7</v>
      </c>
      <c r="I204" s="172">
        <f>F204</f>
        <v>55.24</v>
      </c>
      <c r="J204" s="103">
        <f>IF(ISBLANK(I204),"",(H204*I204))</f>
        <v>-425.34800000000001</v>
      </c>
      <c r="K204" s="104">
        <f>E204+H204</f>
        <v>0</v>
      </c>
      <c r="L204" s="105">
        <f>F204</f>
        <v>55.24</v>
      </c>
      <c r="M204" s="106">
        <f t="shared" ref="M204" si="65">IF(ISBLANK(L204),"",(K204*L204))</f>
        <v>0</v>
      </c>
    </row>
    <row r="205" spans="1:13" x14ac:dyDescent="0.25">
      <c r="A205" s="89"/>
      <c r="B205" s="90"/>
      <c r="C205" s="91"/>
      <c r="D205" s="91"/>
      <c r="E205" s="91"/>
      <c r="F205" s="92"/>
      <c r="G205" s="93"/>
      <c r="H205" s="93"/>
      <c r="I205" s="93"/>
      <c r="J205" s="93"/>
      <c r="K205" s="93"/>
      <c r="L205" s="93"/>
      <c r="M205" s="93"/>
    </row>
    <row r="206" spans="1:13" ht="30" x14ac:dyDescent="0.25">
      <c r="A206" s="165" t="s">
        <v>213</v>
      </c>
      <c r="B206" s="166" t="s">
        <v>141</v>
      </c>
      <c r="C206" s="167" t="s">
        <v>142</v>
      </c>
      <c r="D206" s="168" t="s">
        <v>143</v>
      </c>
      <c r="E206" s="169">
        <v>7.7</v>
      </c>
      <c r="F206" s="170">
        <v>23.2</v>
      </c>
      <c r="G206" s="100">
        <f t="shared" ref="G206:G215" si="66">IF(ISBLANK(F206),"",(E206*F206))</f>
        <v>178.64</v>
      </c>
      <c r="H206" s="171">
        <f t="shared" ref="H206:H215" si="67">-E206</f>
        <v>-7.7</v>
      </c>
      <c r="I206" s="172">
        <f t="shared" ref="I206:I215" si="68">F206</f>
        <v>23.2</v>
      </c>
      <c r="J206" s="103">
        <f t="shared" ref="J206:J215" si="69">IF(ISBLANK(I206),"",(H206*I206))</f>
        <v>-178.64</v>
      </c>
      <c r="K206" s="104">
        <f t="shared" ref="K206:K215" si="70">E206+H206</f>
        <v>0</v>
      </c>
      <c r="L206" s="105">
        <f t="shared" ref="L206:L215" si="71">F206</f>
        <v>23.2</v>
      </c>
      <c r="M206" s="106">
        <f t="shared" ref="M206:M215" si="72">IF(ISBLANK(L206),"",(K206*L206))</f>
        <v>0</v>
      </c>
    </row>
    <row r="207" spans="1:13" ht="45" x14ac:dyDescent="0.25">
      <c r="A207" s="165" t="s">
        <v>62</v>
      </c>
      <c r="B207" s="166" t="s">
        <v>333</v>
      </c>
      <c r="C207" s="167" t="s">
        <v>334</v>
      </c>
      <c r="D207" s="168" t="s">
        <v>143</v>
      </c>
      <c r="E207" s="169">
        <v>7.7</v>
      </c>
      <c r="F207" s="170">
        <v>396.71</v>
      </c>
      <c r="G207" s="100">
        <f t="shared" si="66"/>
        <v>3054.6669999999999</v>
      </c>
      <c r="H207" s="171">
        <f t="shared" si="67"/>
        <v>-7.7</v>
      </c>
      <c r="I207" s="172">
        <f t="shared" si="68"/>
        <v>396.71</v>
      </c>
      <c r="J207" s="103">
        <f t="shared" si="69"/>
        <v>-3054.6669999999999</v>
      </c>
      <c r="K207" s="104">
        <f t="shared" si="70"/>
        <v>0</v>
      </c>
      <c r="L207" s="105">
        <f t="shared" si="71"/>
        <v>396.71</v>
      </c>
      <c r="M207" s="106">
        <f t="shared" si="72"/>
        <v>0</v>
      </c>
    </row>
    <row r="208" spans="1:13" x14ac:dyDescent="0.25">
      <c r="A208" s="89"/>
      <c r="B208" s="90"/>
      <c r="C208" s="91"/>
      <c r="D208" s="91"/>
      <c r="E208" s="91"/>
      <c r="F208" s="92"/>
      <c r="G208" s="93"/>
      <c r="H208" s="93"/>
      <c r="I208" s="93"/>
      <c r="J208" s="93"/>
      <c r="K208" s="93"/>
      <c r="L208" s="93"/>
      <c r="M208" s="93"/>
    </row>
    <row r="209" spans="1:13" ht="30" x14ac:dyDescent="0.25">
      <c r="A209" s="165" t="s">
        <v>150</v>
      </c>
      <c r="B209" s="166" t="s">
        <v>290</v>
      </c>
      <c r="C209" s="167" t="s">
        <v>291</v>
      </c>
      <c r="D209" s="168" t="s">
        <v>219</v>
      </c>
      <c r="E209" s="169">
        <v>2</v>
      </c>
      <c r="F209" s="170">
        <v>55.24</v>
      </c>
      <c r="G209" s="100">
        <f t="shared" si="66"/>
        <v>110.48</v>
      </c>
      <c r="H209" s="171">
        <f t="shared" si="67"/>
        <v>-2</v>
      </c>
      <c r="I209" s="172">
        <f t="shared" si="68"/>
        <v>55.24</v>
      </c>
      <c r="J209" s="103">
        <f t="shared" si="69"/>
        <v>-110.48</v>
      </c>
      <c r="K209" s="104">
        <f t="shared" si="70"/>
        <v>0</v>
      </c>
      <c r="L209" s="105">
        <f t="shared" si="71"/>
        <v>55.24</v>
      </c>
      <c r="M209" s="106">
        <f t="shared" si="72"/>
        <v>0</v>
      </c>
    </row>
    <row r="210" spans="1:13" ht="30" x14ac:dyDescent="0.25">
      <c r="A210" s="165" t="s">
        <v>154</v>
      </c>
      <c r="B210" s="166" t="s">
        <v>245</v>
      </c>
      <c r="C210" s="167" t="s">
        <v>246</v>
      </c>
      <c r="D210" s="168" t="s">
        <v>219</v>
      </c>
      <c r="E210" s="169">
        <v>2</v>
      </c>
      <c r="F210" s="170">
        <v>87.65</v>
      </c>
      <c r="G210" s="100">
        <f t="shared" si="66"/>
        <v>175.3</v>
      </c>
      <c r="H210" s="171">
        <f t="shared" si="67"/>
        <v>-2</v>
      </c>
      <c r="I210" s="172">
        <f t="shared" si="68"/>
        <v>87.65</v>
      </c>
      <c r="J210" s="103">
        <f t="shared" si="69"/>
        <v>-175.3</v>
      </c>
      <c r="K210" s="104">
        <f t="shared" si="70"/>
        <v>0</v>
      </c>
      <c r="L210" s="105">
        <f t="shared" si="71"/>
        <v>87.65</v>
      </c>
      <c r="M210" s="106">
        <f t="shared" si="72"/>
        <v>0</v>
      </c>
    </row>
    <row r="211" spans="1:13" x14ac:dyDescent="0.25">
      <c r="A211" s="89"/>
      <c r="B211" s="90"/>
      <c r="C211" s="91"/>
      <c r="D211" s="91"/>
      <c r="E211" s="91"/>
      <c r="F211" s="92"/>
      <c r="G211" s="92"/>
      <c r="H211" s="92"/>
      <c r="I211" s="92"/>
      <c r="J211" s="92"/>
      <c r="K211" s="92"/>
      <c r="L211" s="93"/>
      <c r="M211" s="93"/>
    </row>
    <row r="212" spans="1:13" ht="30" x14ac:dyDescent="0.25">
      <c r="A212" s="165" t="s">
        <v>179</v>
      </c>
      <c r="B212" s="166" t="s">
        <v>248</v>
      </c>
      <c r="C212" s="167" t="s">
        <v>249</v>
      </c>
      <c r="D212" s="168" t="s">
        <v>192</v>
      </c>
      <c r="E212" s="169">
        <v>8</v>
      </c>
      <c r="F212" s="170">
        <v>51.29</v>
      </c>
      <c r="G212" s="100">
        <f t="shared" si="66"/>
        <v>410.32</v>
      </c>
      <c r="H212" s="171">
        <f t="shared" si="67"/>
        <v>-8</v>
      </c>
      <c r="I212" s="172">
        <f t="shared" si="68"/>
        <v>51.29</v>
      </c>
      <c r="J212" s="103">
        <f t="shared" si="69"/>
        <v>-410.32</v>
      </c>
      <c r="K212" s="104">
        <f t="shared" si="70"/>
        <v>0</v>
      </c>
      <c r="L212" s="105">
        <f t="shared" si="71"/>
        <v>51.29</v>
      </c>
      <c r="M212" s="106">
        <f t="shared" si="72"/>
        <v>0</v>
      </c>
    </row>
    <row r="213" spans="1:13" ht="45" x14ac:dyDescent="0.25">
      <c r="A213" s="165" t="s">
        <v>182</v>
      </c>
      <c r="B213" s="166" t="s">
        <v>251</v>
      </c>
      <c r="C213" s="167" t="s">
        <v>252</v>
      </c>
      <c r="D213" s="168" t="s">
        <v>192</v>
      </c>
      <c r="E213" s="169">
        <v>1</v>
      </c>
      <c r="F213" s="170">
        <v>257.77999999999997</v>
      </c>
      <c r="G213" s="100">
        <f t="shared" si="66"/>
        <v>257.77999999999997</v>
      </c>
      <c r="H213" s="171">
        <f t="shared" si="67"/>
        <v>-1</v>
      </c>
      <c r="I213" s="172">
        <f t="shared" si="68"/>
        <v>257.77999999999997</v>
      </c>
      <c r="J213" s="103">
        <f t="shared" si="69"/>
        <v>-257.77999999999997</v>
      </c>
      <c r="K213" s="104">
        <f t="shared" si="70"/>
        <v>0</v>
      </c>
      <c r="L213" s="105">
        <f t="shared" si="71"/>
        <v>257.77999999999997</v>
      </c>
      <c r="M213" s="106">
        <f t="shared" si="72"/>
        <v>0</v>
      </c>
    </row>
    <row r="214" spans="1:13" ht="30" x14ac:dyDescent="0.25">
      <c r="A214" s="165" t="s">
        <v>160</v>
      </c>
      <c r="B214" s="166" t="s">
        <v>260</v>
      </c>
      <c r="C214" s="167" t="s">
        <v>261</v>
      </c>
      <c r="D214" s="168" t="s">
        <v>192</v>
      </c>
      <c r="E214" s="169">
        <v>7.9832000000000001</v>
      </c>
      <c r="F214" s="170">
        <v>40.770000000000003</v>
      </c>
      <c r="G214" s="100">
        <f t="shared" si="66"/>
        <v>325.47506400000003</v>
      </c>
      <c r="H214" s="171">
        <f t="shared" si="67"/>
        <v>-7.9832000000000001</v>
      </c>
      <c r="I214" s="172">
        <f t="shared" si="68"/>
        <v>40.770000000000003</v>
      </c>
      <c r="J214" s="103">
        <f t="shared" si="69"/>
        <v>-325.47506400000003</v>
      </c>
      <c r="K214" s="104">
        <f t="shared" si="70"/>
        <v>0</v>
      </c>
      <c r="L214" s="105">
        <f t="shared" si="71"/>
        <v>40.770000000000003</v>
      </c>
      <c r="M214" s="106">
        <f t="shared" si="72"/>
        <v>0</v>
      </c>
    </row>
    <row r="215" spans="1:13" ht="30" x14ac:dyDescent="0.25">
      <c r="A215" s="165" t="s">
        <v>73</v>
      </c>
      <c r="B215" s="166" t="s">
        <v>263</v>
      </c>
      <c r="C215" s="167" t="s">
        <v>261</v>
      </c>
      <c r="D215" s="168" t="s">
        <v>192</v>
      </c>
      <c r="E215" s="169">
        <v>8</v>
      </c>
      <c r="F215" s="170">
        <v>104.56</v>
      </c>
      <c r="G215" s="100">
        <f t="shared" si="66"/>
        <v>836.48</v>
      </c>
      <c r="H215" s="171">
        <f t="shared" si="67"/>
        <v>-8</v>
      </c>
      <c r="I215" s="172">
        <f t="shared" si="68"/>
        <v>104.56</v>
      </c>
      <c r="J215" s="103">
        <f t="shared" si="69"/>
        <v>-836.48</v>
      </c>
      <c r="K215" s="104">
        <f t="shared" si="70"/>
        <v>0</v>
      </c>
      <c r="L215" s="105">
        <f t="shared" si="71"/>
        <v>104.56</v>
      </c>
      <c r="M215" s="106">
        <f t="shared" si="72"/>
        <v>0</v>
      </c>
    </row>
    <row r="216" spans="1:13" x14ac:dyDescent="0.25">
      <c r="A216" s="174"/>
      <c r="B216" s="174"/>
      <c r="C216" s="177"/>
      <c r="D216" s="164"/>
      <c r="E216" s="178"/>
      <c r="F216" s="175"/>
      <c r="G216" s="116"/>
      <c r="H216" s="159"/>
      <c r="I216" s="160"/>
      <c r="J216" s="103"/>
      <c r="K216" s="161"/>
      <c r="L216" s="162"/>
      <c r="M216" s="154"/>
    </row>
    <row r="217" spans="1:13" ht="15.75" x14ac:dyDescent="0.25">
      <c r="A217" s="121"/>
      <c r="B217" s="122"/>
      <c r="C217" s="123"/>
      <c r="D217" s="121"/>
      <c r="E217" s="124"/>
      <c r="F217" s="125"/>
      <c r="G217" s="116">
        <f>SUBTOTAL(9,G204:G215)</f>
        <v>5774.4900639999996</v>
      </c>
      <c r="H217" s="127"/>
      <c r="I217" s="128"/>
      <c r="J217" s="103">
        <f>SUBTOTAL(9,J204:J215)</f>
        <v>-5774.4900639999996</v>
      </c>
      <c r="K217" s="130"/>
      <c r="L217" s="130"/>
      <c r="M217" s="154">
        <f>SUBTOTAL(9,M204:M215)</f>
        <v>0</v>
      </c>
    </row>
    <row r="219" spans="1:13" x14ac:dyDescent="0.25">
      <c r="A219" s="270" t="s">
        <v>338</v>
      </c>
      <c r="B219" s="271"/>
      <c r="C219" s="271"/>
      <c r="D219" s="271"/>
      <c r="E219" s="68"/>
      <c r="F219" s="155"/>
      <c r="G219" s="69"/>
      <c r="H219" s="70"/>
      <c r="I219" s="71"/>
      <c r="J219" s="156"/>
      <c r="K219" s="157"/>
      <c r="L219" s="157"/>
      <c r="M219" s="158"/>
    </row>
    <row r="220" spans="1:13" x14ac:dyDescent="0.25">
      <c r="A220" s="41"/>
      <c r="B220" s="75"/>
      <c r="C220" s="75"/>
      <c r="D220" s="75"/>
      <c r="E220" s="68"/>
      <c r="F220" s="155"/>
      <c r="G220" s="69"/>
      <c r="H220" s="70"/>
      <c r="I220" s="71"/>
      <c r="J220" s="156"/>
      <c r="K220" s="157"/>
      <c r="L220" s="157"/>
      <c r="M220" s="158"/>
    </row>
    <row r="221" spans="1:13" ht="15.75" x14ac:dyDescent="0.25">
      <c r="A221" s="76" t="s">
        <v>48</v>
      </c>
      <c r="B221" s="77" t="s">
        <v>282</v>
      </c>
      <c r="C221" s="75"/>
      <c r="D221" s="75"/>
      <c r="E221" s="265" t="s">
        <v>50</v>
      </c>
      <c r="F221" s="265"/>
      <c r="G221" s="265"/>
      <c r="H221" s="266" t="s">
        <v>51</v>
      </c>
      <c r="I221" s="266"/>
      <c r="J221" s="266"/>
      <c r="K221" s="267" t="s">
        <v>16</v>
      </c>
      <c r="L221" s="267"/>
      <c r="M221" s="267"/>
    </row>
    <row r="222" spans="1:13" ht="24" x14ac:dyDescent="0.25">
      <c r="A222" s="78" t="s">
        <v>52</v>
      </c>
      <c r="B222" s="79" t="s">
        <v>53</v>
      </c>
      <c r="C222" s="78" t="s">
        <v>53</v>
      </c>
      <c r="D222" s="79" t="s">
        <v>54</v>
      </c>
      <c r="E222" s="80" t="s">
        <v>55</v>
      </c>
      <c r="F222" s="81" t="s">
        <v>56</v>
      </c>
      <c r="G222" s="82" t="s">
        <v>57</v>
      </c>
      <c r="H222" s="83" t="s">
        <v>55</v>
      </c>
      <c r="I222" s="84" t="s">
        <v>58</v>
      </c>
      <c r="J222" s="85" t="s">
        <v>57</v>
      </c>
      <c r="K222" s="86" t="s">
        <v>55</v>
      </c>
      <c r="L222" s="87" t="s">
        <v>58</v>
      </c>
      <c r="M222" s="88" t="s">
        <v>59</v>
      </c>
    </row>
    <row r="223" spans="1:13" x14ac:dyDescent="0.25">
      <c r="A223" s="89" t="s">
        <v>60</v>
      </c>
      <c r="B223" s="90" t="s">
        <v>61</v>
      </c>
      <c r="C223" s="91"/>
      <c r="D223" s="91"/>
      <c r="E223" s="91"/>
      <c r="F223" s="92"/>
      <c r="G223" s="93"/>
      <c r="H223" s="94"/>
      <c r="I223" s="94"/>
      <c r="J223" s="94"/>
      <c r="K223" s="93"/>
      <c r="L223" s="93"/>
      <c r="M223" s="93"/>
    </row>
    <row r="224" spans="1:13" ht="30" x14ac:dyDescent="0.25">
      <c r="A224" s="165" t="s">
        <v>60</v>
      </c>
      <c r="B224" s="166" t="s">
        <v>174</v>
      </c>
      <c r="C224" s="167" t="s">
        <v>175</v>
      </c>
      <c r="D224" s="168" t="s">
        <v>143</v>
      </c>
      <c r="E224" s="169">
        <v>11.8</v>
      </c>
      <c r="F224" s="170">
        <v>55.24</v>
      </c>
      <c r="G224" s="100">
        <f>IF(ISBLANK(F224),"",(E224*F224))</f>
        <v>651.83200000000011</v>
      </c>
      <c r="H224" s="171">
        <f>-E224</f>
        <v>-11.8</v>
      </c>
      <c r="I224" s="172">
        <f>F224</f>
        <v>55.24</v>
      </c>
      <c r="J224" s="103">
        <f>IF(ISBLANK(I224),"",(H224*I224))</f>
        <v>-651.83200000000011</v>
      </c>
      <c r="K224" s="104">
        <f>E224+H224</f>
        <v>0</v>
      </c>
      <c r="L224" s="105">
        <f>F224</f>
        <v>55.24</v>
      </c>
      <c r="M224" s="106">
        <f t="shared" ref="M224:M226" si="73">IF(ISBLANK(L224),"",(K224*L224))</f>
        <v>0</v>
      </c>
    </row>
    <row r="225" spans="1:13" ht="30" x14ac:dyDescent="0.25">
      <c r="A225" s="165" t="s">
        <v>169</v>
      </c>
      <c r="B225" s="166" t="s">
        <v>187</v>
      </c>
      <c r="C225" s="167" t="s">
        <v>188</v>
      </c>
      <c r="D225" s="168" t="s">
        <v>76</v>
      </c>
      <c r="E225" s="169">
        <v>0.6</v>
      </c>
      <c r="F225" s="170">
        <v>11.84</v>
      </c>
      <c r="G225" s="100">
        <f t="shared" ref="G225:G226" si="74">IF(ISBLANK(F225),"",(E225*F225))</f>
        <v>7.1040000000000001</v>
      </c>
      <c r="H225" s="171">
        <f t="shared" ref="H225:H236" si="75">-E225</f>
        <v>-0.6</v>
      </c>
      <c r="I225" s="172">
        <f t="shared" ref="I225:I226" si="76">F225</f>
        <v>11.84</v>
      </c>
      <c r="J225" s="103">
        <f t="shared" ref="J225:J226" si="77">IF(ISBLANK(I225),"",(H225*I225))</f>
        <v>-7.1040000000000001</v>
      </c>
      <c r="K225" s="104">
        <f t="shared" ref="K225:K237" si="78">E225+H225</f>
        <v>0</v>
      </c>
      <c r="L225" s="105">
        <f t="shared" ref="L225:L226" si="79">F225</f>
        <v>11.84</v>
      </c>
      <c r="M225" s="106">
        <f t="shared" si="73"/>
        <v>0</v>
      </c>
    </row>
    <row r="226" spans="1:13" ht="30" x14ac:dyDescent="0.25">
      <c r="A226" s="165" t="s">
        <v>170</v>
      </c>
      <c r="B226" s="166" t="s">
        <v>187</v>
      </c>
      <c r="C226" s="167" t="s">
        <v>188</v>
      </c>
      <c r="D226" s="168" t="s">
        <v>76</v>
      </c>
      <c r="E226" s="169">
        <v>0.6</v>
      </c>
      <c r="F226" s="170">
        <v>11.84</v>
      </c>
      <c r="G226" s="100">
        <f t="shared" si="74"/>
        <v>7.1040000000000001</v>
      </c>
      <c r="H226" s="171">
        <f t="shared" si="75"/>
        <v>-0.6</v>
      </c>
      <c r="I226" s="172">
        <f t="shared" si="76"/>
        <v>11.84</v>
      </c>
      <c r="J226" s="103">
        <f t="shared" si="77"/>
        <v>-7.1040000000000001</v>
      </c>
      <c r="K226" s="104">
        <f t="shared" si="78"/>
        <v>0</v>
      </c>
      <c r="L226" s="105">
        <f t="shared" si="79"/>
        <v>11.84</v>
      </c>
      <c r="M226" s="106">
        <f t="shared" si="73"/>
        <v>0</v>
      </c>
    </row>
    <row r="227" spans="1:13" x14ac:dyDescent="0.25">
      <c r="A227" s="89" t="s">
        <v>173</v>
      </c>
      <c r="B227" s="90" t="s">
        <v>207</v>
      </c>
      <c r="C227" s="91"/>
      <c r="D227" s="91"/>
      <c r="E227" s="91"/>
      <c r="F227" s="92"/>
      <c r="G227" s="92"/>
      <c r="H227" s="92"/>
      <c r="I227" s="92"/>
      <c r="J227" s="92"/>
      <c r="K227" s="92"/>
      <c r="L227" s="92"/>
      <c r="M227" s="92"/>
    </row>
    <row r="228" spans="1:13" ht="30" x14ac:dyDescent="0.25">
      <c r="A228" s="165" t="s">
        <v>203</v>
      </c>
      <c r="B228" s="166" t="s">
        <v>141</v>
      </c>
      <c r="C228" s="167" t="s">
        <v>142</v>
      </c>
      <c r="D228" s="168" t="s">
        <v>143</v>
      </c>
      <c r="E228" s="169">
        <v>11.8</v>
      </c>
      <c r="F228" s="170">
        <v>23.2</v>
      </c>
      <c r="G228" s="100">
        <f t="shared" ref="G228:G237" si="80">IF(ISBLANK(F228),"",(E228*F228))</f>
        <v>273.76</v>
      </c>
      <c r="H228" s="171">
        <f t="shared" si="75"/>
        <v>-11.8</v>
      </c>
      <c r="I228" s="172">
        <f t="shared" ref="I228:I236" si="81">F228</f>
        <v>23.2</v>
      </c>
      <c r="J228" s="103">
        <f t="shared" ref="J228:J237" si="82">IF(ISBLANK(I228),"",(H228*I228))</f>
        <v>-273.76</v>
      </c>
      <c r="K228" s="104">
        <f t="shared" si="78"/>
        <v>0</v>
      </c>
      <c r="L228" s="105">
        <f t="shared" ref="L228:L237" si="83">F228</f>
        <v>23.2</v>
      </c>
      <c r="M228" s="106">
        <f t="shared" ref="M228:M237" si="84">IF(ISBLANK(L228),"",(K228*L228))</f>
        <v>0</v>
      </c>
    </row>
    <row r="229" spans="1:13" ht="45" x14ac:dyDescent="0.25">
      <c r="A229" s="165" t="s">
        <v>173</v>
      </c>
      <c r="B229" s="166" t="s">
        <v>333</v>
      </c>
      <c r="C229" s="167" t="s">
        <v>334</v>
      </c>
      <c r="D229" s="168" t="s">
        <v>143</v>
      </c>
      <c r="E229" s="169">
        <v>11.8</v>
      </c>
      <c r="F229" s="170">
        <v>396.71</v>
      </c>
      <c r="G229" s="100">
        <f t="shared" si="80"/>
        <v>4681.1779999999999</v>
      </c>
      <c r="H229" s="171">
        <f t="shared" si="75"/>
        <v>-11.8</v>
      </c>
      <c r="I229" s="172">
        <f t="shared" si="81"/>
        <v>396.71</v>
      </c>
      <c r="J229" s="103">
        <f t="shared" si="82"/>
        <v>-4681.1779999999999</v>
      </c>
      <c r="K229" s="104">
        <f t="shared" si="78"/>
        <v>0</v>
      </c>
      <c r="L229" s="105">
        <f t="shared" si="83"/>
        <v>396.71</v>
      </c>
      <c r="M229" s="106">
        <f t="shared" si="84"/>
        <v>0</v>
      </c>
    </row>
    <row r="230" spans="1:13" x14ac:dyDescent="0.25">
      <c r="A230" s="89" t="s">
        <v>176</v>
      </c>
      <c r="B230" s="90" t="s">
        <v>289</v>
      </c>
      <c r="C230" s="91"/>
      <c r="D230" s="91"/>
      <c r="E230" s="91"/>
      <c r="F230" s="92"/>
      <c r="G230" s="92"/>
      <c r="H230" s="92"/>
      <c r="I230" s="92"/>
      <c r="J230" s="92"/>
      <c r="K230" s="92"/>
      <c r="L230" s="92"/>
      <c r="M230" s="92"/>
    </row>
    <row r="231" spans="1:13" ht="30" x14ac:dyDescent="0.25">
      <c r="A231" s="165" t="s">
        <v>335</v>
      </c>
      <c r="B231" s="166" t="s">
        <v>290</v>
      </c>
      <c r="C231" s="167" t="s">
        <v>291</v>
      </c>
      <c r="D231" s="168" t="s">
        <v>219</v>
      </c>
      <c r="E231" s="169">
        <v>10.1</v>
      </c>
      <c r="F231" s="170">
        <v>55.24</v>
      </c>
      <c r="G231" s="100">
        <f t="shared" si="80"/>
        <v>557.92399999999998</v>
      </c>
      <c r="H231" s="171">
        <f t="shared" si="75"/>
        <v>-10.1</v>
      </c>
      <c r="I231" s="172">
        <f t="shared" si="81"/>
        <v>55.24</v>
      </c>
      <c r="J231" s="103">
        <f t="shared" si="82"/>
        <v>-557.92399999999998</v>
      </c>
      <c r="K231" s="104">
        <f t="shared" si="78"/>
        <v>0</v>
      </c>
      <c r="L231" s="105">
        <f t="shared" si="83"/>
        <v>55.24</v>
      </c>
      <c r="M231" s="106">
        <f t="shared" si="84"/>
        <v>0</v>
      </c>
    </row>
    <row r="232" spans="1:13" x14ac:dyDescent="0.25">
      <c r="A232" s="89" t="s">
        <v>293</v>
      </c>
      <c r="B232" s="90" t="s">
        <v>294</v>
      </c>
      <c r="C232" s="91"/>
      <c r="D232" s="91"/>
      <c r="E232" s="91"/>
      <c r="F232" s="92"/>
      <c r="G232" s="92"/>
      <c r="H232" s="92"/>
      <c r="I232" s="92"/>
      <c r="J232" s="92"/>
      <c r="K232" s="92"/>
      <c r="L232" s="92"/>
      <c r="M232" s="92"/>
    </row>
    <row r="233" spans="1:13" ht="30" x14ac:dyDescent="0.25">
      <c r="A233" s="165" t="s">
        <v>213</v>
      </c>
      <c r="B233" s="166" t="s">
        <v>245</v>
      </c>
      <c r="C233" s="167" t="s">
        <v>246</v>
      </c>
      <c r="D233" s="168" t="s">
        <v>219</v>
      </c>
      <c r="E233" s="169">
        <v>10.1</v>
      </c>
      <c r="F233" s="170">
        <v>87.65</v>
      </c>
      <c r="G233" s="100">
        <f t="shared" si="80"/>
        <v>885.26499999999999</v>
      </c>
      <c r="H233" s="171">
        <f t="shared" si="75"/>
        <v>-10.1</v>
      </c>
      <c r="I233" s="172">
        <f t="shared" si="81"/>
        <v>87.65</v>
      </c>
      <c r="J233" s="103">
        <f t="shared" si="82"/>
        <v>-885.26499999999999</v>
      </c>
      <c r="K233" s="104">
        <f t="shared" si="78"/>
        <v>0</v>
      </c>
      <c r="L233" s="105">
        <f t="shared" si="83"/>
        <v>87.65</v>
      </c>
      <c r="M233" s="106">
        <f t="shared" si="84"/>
        <v>0</v>
      </c>
    </row>
    <row r="234" spans="1:13" ht="30" x14ac:dyDescent="0.25">
      <c r="A234" s="165" t="s">
        <v>62</v>
      </c>
      <c r="B234" s="166" t="s">
        <v>248</v>
      </c>
      <c r="C234" s="167" t="s">
        <v>249</v>
      </c>
      <c r="D234" s="168" t="s">
        <v>192</v>
      </c>
      <c r="E234" s="169">
        <v>1.5</v>
      </c>
      <c r="F234" s="170">
        <v>51.29</v>
      </c>
      <c r="G234" s="100">
        <f t="shared" si="80"/>
        <v>76.935000000000002</v>
      </c>
      <c r="H234" s="171">
        <f t="shared" si="75"/>
        <v>-1.5</v>
      </c>
      <c r="I234" s="172">
        <f t="shared" si="81"/>
        <v>51.29</v>
      </c>
      <c r="J234" s="103">
        <f t="shared" si="82"/>
        <v>-76.935000000000002</v>
      </c>
      <c r="K234" s="104">
        <f t="shared" si="78"/>
        <v>0</v>
      </c>
      <c r="L234" s="105">
        <f t="shared" si="83"/>
        <v>51.29</v>
      </c>
      <c r="M234" s="106">
        <f t="shared" si="84"/>
        <v>0</v>
      </c>
    </row>
    <row r="235" spans="1:13" ht="45" x14ac:dyDescent="0.25">
      <c r="A235" s="165" t="s">
        <v>176</v>
      </c>
      <c r="B235" s="166" t="s">
        <v>251</v>
      </c>
      <c r="C235" s="167" t="s">
        <v>252</v>
      </c>
      <c r="D235" s="168" t="s">
        <v>192</v>
      </c>
      <c r="E235" s="169">
        <v>1.5</v>
      </c>
      <c r="F235" s="170">
        <v>257.77999999999997</v>
      </c>
      <c r="G235" s="100">
        <f t="shared" si="80"/>
        <v>386.66999999999996</v>
      </c>
      <c r="H235" s="171">
        <f t="shared" si="75"/>
        <v>-1.5</v>
      </c>
      <c r="I235" s="172">
        <f t="shared" si="81"/>
        <v>257.77999999999997</v>
      </c>
      <c r="J235" s="103">
        <f t="shared" si="82"/>
        <v>-386.66999999999996</v>
      </c>
      <c r="K235" s="104">
        <f t="shared" si="78"/>
        <v>0</v>
      </c>
      <c r="L235" s="105">
        <f t="shared" si="83"/>
        <v>257.77999999999997</v>
      </c>
      <c r="M235" s="106">
        <f t="shared" si="84"/>
        <v>0</v>
      </c>
    </row>
    <row r="236" spans="1:13" ht="30" x14ac:dyDescent="0.25">
      <c r="A236" s="165" t="s">
        <v>336</v>
      </c>
      <c r="B236" s="166" t="s">
        <v>260</v>
      </c>
      <c r="C236" s="167" t="s">
        <v>261</v>
      </c>
      <c r="D236" s="168" t="s">
        <v>192</v>
      </c>
      <c r="E236" s="169">
        <v>1.5104</v>
      </c>
      <c r="F236" s="170">
        <v>104.56</v>
      </c>
      <c r="G236" s="100">
        <f t="shared" si="80"/>
        <v>157.927424</v>
      </c>
      <c r="H236" s="171">
        <f t="shared" si="75"/>
        <v>-1.5104</v>
      </c>
      <c r="I236" s="172">
        <f t="shared" si="81"/>
        <v>104.56</v>
      </c>
      <c r="J236" s="103">
        <f t="shared" si="82"/>
        <v>-157.927424</v>
      </c>
      <c r="K236" s="104">
        <f t="shared" si="78"/>
        <v>0</v>
      </c>
      <c r="L236" s="105">
        <f t="shared" si="83"/>
        <v>104.56</v>
      </c>
      <c r="M236" s="106">
        <f t="shared" si="84"/>
        <v>0</v>
      </c>
    </row>
    <row r="237" spans="1:13" ht="30" x14ac:dyDescent="0.25">
      <c r="A237" s="165" t="s">
        <v>150</v>
      </c>
      <c r="B237" s="166" t="s">
        <v>263</v>
      </c>
      <c r="C237" s="167" t="s">
        <v>261</v>
      </c>
      <c r="D237" s="168" t="s">
        <v>192</v>
      </c>
      <c r="E237" s="169">
        <v>0</v>
      </c>
      <c r="F237" s="170">
        <v>40.53</v>
      </c>
      <c r="G237" s="100">
        <f t="shared" si="80"/>
        <v>0</v>
      </c>
      <c r="H237" s="171">
        <v>0</v>
      </c>
      <c r="I237" s="172">
        <v>104.6</v>
      </c>
      <c r="J237" s="103">
        <f t="shared" si="82"/>
        <v>0</v>
      </c>
      <c r="K237" s="104">
        <f t="shared" si="78"/>
        <v>0</v>
      </c>
      <c r="L237" s="105">
        <f t="shared" si="83"/>
        <v>40.53</v>
      </c>
      <c r="M237" s="106">
        <f t="shared" si="84"/>
        <v>0</v>
      </c>
    </row>
    <row r="238" spans="1:13" x14ac:dyDescent="0.25">
      <c r="A238" s="174"/>
      <c r="B238" s="174"/>
      <c r="C238" s="177"/>
      <c r="D238" s="164"/>
      <c r="E238" s="178"/>
      <c r="F238" s="175"/>
      <c r="G238" s="116"/>
      <c r="H238" s="159"/>
      <c r="I238" s="160"/>
      <c r="J238" s="103"/>
      <c r="K238" s="161"/>
      <c r="L238" s="162"/>
      <c r="M238" s="154"/>
    </row>
    <row r="239" spans="1:13" ht="15.75" x14ac:dyDescent="0.25">
      <c r="A239" s="121"/>
      <c r="B239" s="122"/>
      <c r="C239" s="123"/>
      <c r="D239" s="121"/>
      <c r="E239" s="124"/>
      <c r="F239" s="125"/>
      <c r="G239" s="116">
        <f>SUBTOTAL(9,G224:G237)</f>
        <v>7685.6994240000013</v>
      </c>
      <c r="H239" s="127"/>
      <c r="I239" s="128"/>
      <c r="J239" s="103">
        <f>SUBTOTAL(9,J224:J237)</f>
        <v>-7685.6994240000013</v>
      </c>
      <c r="K239" s="130"/>
      <c r="L239" s="130"/>
      <c r="M239" s="154">
        <f>SUBTOTAL(9,M224:M237)</f>
        <v>0</v>
      </c>
    </row>
    <row r="241" spans="1:13" x14ac:dyDescent="0.25">
      <c r="A241" s="270" t="s">
        <v>339</v>
      </c>
      <c r="B241" s="271"/>
      <c r="C241" s="271"/>
      <c r="D241" s="271"/>
      <c r="E241" s="68"/>
      <c r="F241" s="155"/>
      <c r="G241" s="69"/>
      <c r="H241" s="70"/>
      <c r="I241" s="71"/>
      <c r="J241" s="156"/>
      <c r="K241" s="157"/>
      <c r="L241" s="157"/>
      <c r="M241" s="158"/>
    </row>
    <row r="242" spans="1:13" x14ac:dyDescent="0.25">
      <c r="A242" s="41"/>
      <c r="B242" s="75"/>
      <c r="C242" s="75"/>
      <c r="D242" s="75"/>
      <c r="E242" s="68"/>
      <c r="F242" s="155"/>
      <c r="G242" s="69"/>
      <c r="H242" s="70"/>
      <c r="I242" s="71"/>
      <c r="J242" s="156"/>
      <c r="K242" s="157"/>
      <c r="L242" s="157"/>
      <c r="M242" s="158"/>
    </row>
    <row r="243" spans="1:13" ht="15.75" x14ac:dyDescent="0.25">
      <c r="A243" s="76" t="s">
        <v>48</v>
      </c>
      <c r="B243" s="77" t="s">
        <v>282</v>
      </c>
      <c r="C243" s="75"/>
      <c r="D243" s="75"/>
      <c r="E243" s="265" t="s">
        <v>50</v>
      </c>
      <c r="F243" s="265"/>
      <c r="G243" s="265"/>
      <c r="H243" s="266" t="s">
        <v>51</v>
      </c>
      <c r="I243" s="266"/>
      <c r="J243" s="266"/>
      <c r="K243" s="267" t="s">
        <v>16</v>
      </c>
      <c r="L243" s="267"/>
      <c r="M243" s="267"/>
    </row>
    <row r="244" spans="1:13" ht="24" x14ac:dyDescent="0.25">
      <c r="A244" s="78" t="s">
        <v>52</v>
      </c>
      <c r="B244" s="79" t="s">
        <v>53</v>
      </c>
      <c r="C244" s="78" t="s">
        <v>53</v>
      </c>
      <c r="D244" s="79" t="s">
        <v>54</v>
      </c>
      <c r="E244" s="80" t="s">
        <v>55</v>
      </c>
      <c r="F244" s="81" t="s">
        <v>56</v>
      </c>
      <c r="G244" s="82" t="s">
        <v>57</v>
      </c>
      <c r="H244" s="83" t="s">
        <v>55</v>
      </c>
      <c r="I244" s="84" t="s">
        <v>58</v>
      </c>
      <c r="J244" s="85" t="s">
        <v>57</v>
      </c>
      <c r="K244" s="86" t="s">
        <v>55</v>
      </c>
      <c r="L244" s="87" t="s">
        <v>58</v>
      </c>
      <c r="M244" s="88" t="s">
        <v>59</v>
      </c>
    </row>
    <row r="245" spans="1:13" x14ac:dyDescent="0.25">
      <c r="A245" s="89" t="s">
        <v>60</v>
      </c>
      <c r="B245" s="90" t="s">
        <v>61</v>
      </c>
      <c r="C245" s="91"/>
      <c r="D245" s="91"/>
      <c r="E245" s="91"/>
      <c r="F245" s="92"/>
      <c r="G245" s="93"/>
      <c r="H245" s="94"/>
      <c r="I245" s="94"/>
      <c r="J245" s="94"/>
      <c r="K245" s="93"/>
      <c r="L245" s="93"/>
      <c r="M245" s="93"/>
    </row>
    <row r="246" spans="1:13" ht="30" x14ac:dyDescent="0.25">
      <c r="A246" s="165" t="s">
        <v>150</v>
      </c>
      <c r="B246" s="166" t="s">
        <v>174</v>
      </c>
      <c r="C246" s="167" t="s">
        <v>175</v>
      </c>
      <c r="D246" s="168" t="s">
        <v>143</v>
      </c>
      <c r="E246" s="169">
        <v>165</v>
      </c>
      <c r="F246" s="170">
        <v>55.24</v>
      </c>
      <c r="G246" s="100">
        <f>IF(ISBLANK(F246),"",(E246*F246))</f>
        <v>9114.6</v>
      </c>
      <c r="H246" s="171">
        <f>-E246</f>
        <v>-165</v>
      </c>
      <c r="I246" s="172">
        <f>F246</f>
        <v>55.24</v>
      </c>
      <c r="J246" s="103">
        <f>IF(ISBLANK(I246),"",(H246*I246))</f>
        <v>-9114.6</v>
      </c>
      <c r="K246" s="104">
        <f>E246+H246</f>
        <v>0</v>
      </c>
      <c r="L246" s="105">
        <f>F246</f>
        <v>55.24</v>
      </c>
      <c r="M246" s="106">
        <f t="shared" ref="M246:M247" si="85">IF(ISBLANK(L246),"",(K246*L246))</f>
        <v>0</v>
      </c>
    </row>
    <row r="247" spans="1:13" ht="30" x14ac:dyDescent="0.25">
      <c r="A247" s="165" t="s">
        <v>127</v>
      </c>
      <c r="B247" s="166" t="s">
        <v>190</v>
      </c>
      <c r="C247" s="167" t="s">
        <v>191</v>
      </c>
      <c r="D247" s="168" t="s">
        <v>192</v>
      </c>
      <c r="E247" s="169">
        <v>828.8</v>
      </c>
      <c r="F247" s="170">
        <v>116</v>
      </c>
      <c r="G247" s="100">
        <f t="shared" ref="G247" si="86">IF(ISBLANK(F247),"",(E247*F247))</f>
        <v>96140.799999999988</v>
      </c>
      <c r="H247" s="171">
        <f>-E247</f>
        <v>-828.8</v>
      </c>
      <c r="I247" s="172">
        <f t="shared" ref="I247" si="87">F247</f>
        <v>116</v>
      </c>
      <c r="J247" s="103">
        <f t="shared" ref="J247" si="88">IF(ISBLANK(I247),"",(H247*I247))</f>
        <v>-96140.799999999988</v>
      </c>
      <c r="K247" s="104">
        <f>E247+H247</f>
        <v>0</v>
      </c>
      <c r="L247" s="105">
        <f t="shared" ref="L247" si="89">F247</f>
        <v>116</v>
      </c>
      <c r="M247" s="106">
        <f t="shared" si="85"/>
        <v>0</v>
      </c>
    </row>
    <row r="248" spans="1:13" ht="22.5" x14ac:dyDescent="0.25">
      <c r="A248" s="165"/>
      <c r="B248" s="166"/>
      <c r="C248" s="173" t="s">
        <v>340</v>
      </c>
      <c r="D248" s="168"/>
      <c r="E248" s="173">
        <f>165*0.128</f>
        <v>21.12</v>
      </c>
      <c r="F248" s="170"/>
      <c r="G248" s="100"/>
      <c r="H248" s="171"/>
      <c r="I248" s="172"/>
      <c r="J248" s="103"/>
      <c r="K248" s="104"/>
      <c r="L248" s="105"/>
      <c r="M248" s="106"/>
    </row>
    <row r="249" spans="1:13" x14ac:dyDescent="0.25">
      <c r="A249" s="89" t="s">
        <v>173</v>
      </c>
      <c r="B249" s="90" t="s">
        <v>207</v>
      </c>
      <c r="C249" s="91"/>
      <c r="D249" s="91"/>
      <c r="E249" s="91"/>
      <c r="F249" s="92"/>
      <c r="G249" s="92"/>
      <c r="H249" s="92"/>
      <c r="I249" s="92"/>
      <c r="J249" s="92"/>
      <c r="K249" s="92"/>
      <c r="L249" s="92"/>
      <c r="M249" s="92"/>
    </row>
    <row r="250" spans="1:13" ht="30" x14ac:dyDescent="0.25">
      <c r="A250" s="165" t="s">
        <v>341</v>
      </c>
      <c r="B250" s="166" t="s">
        <v>141</v>
      </c>
      <c r="C250" s="167" t="s">
        <v>142</v>
      </c>
      <c r="D250" s="168" t="s">
        <v>143</v>
      </c>
      <c r="E250" s="169">
        <v>272</v>
      </c>
      <c r="F250" s="170">
        <v>23.2</v>
      </c>
      <c r="G250" s="100">
        <f t="shared" ref="G250:G262" si="90">IF(ISBLANK(F250),"",(E250*F250))</f>
        <v>6310.4</v>
      </c>
      <c r="H250" s="171">
        <f>-E246</f>
        <v>-165</v>
      </c>
      <c r="I250" s="172">
        <f t="shared" ref="I250:I258" si="91">F250</f>
        <v>23.2</v>
      </c>
      <c r="J250" s="103">
        <f t="shared" ref="J250:J258" si="92">IF(ISBLANK(I250),"",(H250*I250))</f>
        <v>-3828</v>
      </c>
      <c r="K250" s="104">
        <f>E250+H250</f>
        <v>107</v>
      </c>
      <c r="L250" s="105">
        <f t="shared" ref="L250:L258" si="93">F250</f>
        <v>23.2</v>
      </c>
      <c r="M250" s="106">
        <f t="shared" ref="M250:M258" si="94">IF(ISBLANK(L250),"",(K250*L250))</f>
        <v>2482.4</v>
      </c>
    </row>
    <row r="251" spans="1:13" ht="45" x14ac:dyDescent="0.25">
      <c r="A251" s="165" t="s">
        <v>316</v>
      </c>
      <c r="B251" s="166" t="s">
        <v>287</v>
      </c>
      <c r="C251" s="167" t="s">
        <v>288</v>
      </c>
      <c r="D251" s="168" t="s">
        <v>143</v>
      </c>
      <c r="E251" s="169">
        <v>165</v>
      </c>
      <c r="F251" s="170">
        <v>396.71</v>
      </c>
      <c r="G251" s="100">
        <f t="shared" si="90"/>
        <v>65457.149999999994</v>
      </c>
      <c r="H251" s="171">
        <f>-E251</f>
        <v>-165</v>
      </c>
      <c r="I251" s="172">
        <f t="shared" si="91"/>
        <v>396.71</v>
      </c>
      <c r="J251" s="103">
        <f t="shared" si="92"/>
        <v>-65457.149999999994</v>
      </c>
      <c r="K251" s="104">
        <f t="shared" ref="K251" si="95">E251-H251</f>
        <v>330</v>
      </c>
      <c r="L251" s="105">
        <f t="shared" si="93"/>
        <v>396.71</v>
      </c>
      <c r="M251" s="106">
        <f t="shared" si="94"/>
        <v>130914.29999999999</v>
      </c>
    </row>
    <row r="252" spans="1:13" x14ac:dyDescent="0.25">
      <c r="A252" s="89" t="s">
        <v>176</v>
      </c>
      <c r="B252" s="90" t="s">
        <v>289</v>
      </c>
      <c r="C252" s="91"/>
      <c r="D252" s="91"/>
      <c r="E252" s="91"/>
      <c r="F252" s="92"/>
      <c r="G252" s="92"/>
      <c r="H252" s="92"/>
      <c r="I252" s="92"/>
      <c r="J252" s="92"/>
      <c r="K252" s="92"/>
      <c r="L252" s="92"/>
      <c r="M252" s="92"/>
    </row>
    <row r="253" spans="1:13" ht="30" x14ac:dyDescent="0.25">
      <c r="A253" s="165" t="s">
        <v>342</v>
      </c>
      <c r="B253" s="166" t="s">
        <v>242</v>
      </c>
      <c r="C253" s="167" t="s">
        <v>243</v>
      </c>
      <c r="D253" s="168" t="s">
        <v>219</v>
      </c>
      <c r="E253" s="169">
        <v>283</v>
      </c>
      <c r="F253" s="170">
        <v>149.94</v>
      </c>
      <c r="G253" s="100">
        <f t="shared" si="90"/>
        <v>42433.02</v>
      </c>
      <c r="H253" s="171">
        <f>-E253</f>
        <v>-283</v>
      </c>
      <c r="I253" s="172">
        <f t="shared" si="91"/>
        <v>149.94</v>
      </c>
      <c r="J253" s="103">
        <f t="shared" si="92"/>
        <v>-42433.02</v>
      </c>
      <c r="K253" s="104">
        <f>E253+H253</f>
        <v>0</v>
      </c>
      <c r="L253" s="105">
        <f t="shared" si="93"/>
        <v>149.94</v>
      </c>
      <c r="M253" s="106">
        <f t="shared" si="94"/>
        <v>0</v>
      </c>
    </row>
    <row r="254" spans="1:13" ht="30" x14ac:dyDescent="0.25">
      <c r="A254" s="165" t="s">
        <v>98</v>
      </c>
      <c r="B254" s="166" t="s">
        <v>245</v>
      </c>
      <c r="C254" s="167" t="s">
        <v>246</v>
      </c>
      <c r="D254" s="168" t="s">
        <v>219</v>
      </c>
      <c r="E254" s="169">
        <v>109.1</v>
      </c>
      <c r="F254" s="170">
        <v>87.65</v>
      </c>
      <c r="G254" s="100">
        <f t="shared" si="90"/>
        <v>9562.6149999999998</v>
      </c>
      <c r="H254" s="171">
        <f>-E254</f>
        <v>-109.1</v>
      </c>
      <c r="I254" s="172">
        <f t="shared" si="91"/>
        <v>87.65</v>
      </c>
      <c r="J254" s="103">
        <f t="shared" si="92"/>
        <v>-9562.6149999999998</v>
      </c>
      <c r="K254" s="104">
        <f>E254+H254</f>
        <v>0</v>
      </c>
      <c r="L254" s="105">
        <f t="shared" si="93"/>
        <v>87.65</v>
      </c>
      <c r="M254" s="106">
        <f t="shared" si="94"/>
        <v>0</v>
      </c>
    </row>
    <row r="255" spans="1:13" x14ac:dyDescent="0.25">
      <c r="A255" s="89" t="s">
        <v>293</v>
      </c>
      <c r="B255" s="90" t="s">
        <v>294</v>
      </c>
      <c r="C255" s="91"/>
      <c r="D255" s="91"/>
      <c r="E255" s="91"/>
      <c r="F255" s="92"/>
      <c r="G255" s="92"/>
      <c r="H255" s="92"/>
      <c r="I255" s="92"/>
      <c r="J255" s="92"/>
      <c r="K255" s="92"/>
      <c r="L255" s="92"/>
      <c r="M255" s="92"/>
    </row>
    <row r="256" spans="1:13" ht="30" x14ac:dyDescent="0.25">
      <c r="A256" s="165" t="s">
        <v>343</v>
      </c>
      <c r="B256" s="166" t="s">
        <v>248</v>
      </c>
      <c r="C256" s="167" t="s">
        <v>249</v>
      </c>
      <c r="D256" s="168" t="s">
        <v>192</v>
      </c>
      <c r="E256" s="169">
        <v>198.9</v>
      </c>
      <c r="F256" s="170">
        <v>51.29</v>
      </c>
      <c r="G256" s="100">
        <f t="shared" si="90"/>
        <v>10201.581</v>
      </c>
      <c r="H256" s="171">
        <f>-E257</f>
        <v>-21.12</v>
      </c>
      <c r="I256" s="172">
        <f t="shared" si="91"/>
        <v>51.29</v>
      </c>
      <c r="J256" s="103">
        <f t="shared" si="92"/>
        <v>-1083.2447999999999</v>
      </c>
      <c r="K256" s="104">
        <f>E256+H256</f>
        <v>177.78</v>
      </c>
      <c r="L256" s="105">
        <f t="shared" si="93"/>
        <v>51.29</v>
      </c>
      <c r="M256" s="106">
        <f t="shared" si="94"/>
        <v>9118.3361999999997</v>
      </c>
    </row>
    <row r="257" spans="1:13" ht="22.5" x14ac:dyDescent="0.25">
      <c r="A257" s="165"/>
      <c r="B257" s="166"/>
      <c r="C257" s="173" t="s">
        <v>340</v>
      </c>
      <c r="D257" s="168"/>
      <c r="E257" s="173">
        <f>165*0.128</f>
        <v>21.12</v>
      </c>
      <c r="F257" s="170"/>
      <c r="G257" s="100"/>
      <c r="H257" s="171"/>
      <c r="I257" s="172"/>
      <c r="J257" s="103"/>
      <c r="K257" s="104"/>
      <c r="L257" s="105"/>
      <c r="M257" s="106"/>
    </row>
    <row r="258" spans="1:13" ht="45" x14ac:dyDescent="0.25">
      <c r="A258" s="165" t="s">
        <v>270</v>
      </c>
      <c r="B258" s="166" t="s">
        <v>251</v>
      </c>
      <c r="C258" s="167" t="s">
        <v>252</v>
      </c>
      <c r="D258" s="168" t="s">
        <v>192</v>
      </c>
      <c r="E258" s="169">
        <v>66.099999999999994</v>
      </c>
      <c r="F258" s="170">
        <v>257.77999999999997</v>
      </c>
      <c r="G258" s="100">
        <f t="shared" si="90"/>
        <v>17039.257999999998</v>
      </c>
      <c r="H258" s="171">
        <f>-E259</f>
        <v>-21.12</v>
      </c>
      <c r="I258" s="172">
        <f t="shared" si="91"/>
        <v>257.77999999999997</v>
      </c>
      <c r="J258" s="103">
        <f t="shared" si="92"/>
        <v>-5444.3135999999995</v>
      </c>
      <c r="K258" s="104">
        <f>E258+H258</f>
        <v>44.97999999999999</v>
      </c>
      <c r="L258" s="105">
        <f t="shared" si="93"/>
        <v>257.77999999999997</v>
      </c>
      <c r="M258" s="106">
        <f t="shared" si="94"/>
        <v>11594.944399999997</v>
      </c>
    </row>
    <row r="259" spans="1:13" ht="22.5" x14ac:dyDescent="0.25">
      <c r="A259" s="165"/>
      <c r="B259" s="166"/>
      <c r="C259" s="173" t="s">
        <v>340</v>
      </c>
      <c r="D259" s="168"/>
      <c r="E259" s="173">
        <f>165*0.128</f>
        <v>21.12</v>
      </c>
      <c r="F259" s="170"/>
      <c r="G259" s="100"/>
      <c r="H259" s="171"/>
      <c r="I259" s="172"/>
      <c r="J259" s="103"/>
      <c r="K259" s="104"/>
      <c r="L259" s="105"/>
      <c r="M259" s="106"/>
    </row>
    <row r="260" spans="1:13" ht="30" x14ac:dyDescent="0.25">
      <c r="A260" s="165" t="s">
        <v>344</v>
      </c>
      <c r="B260" s="166" t="s">
        <v>260</v>
      </c>
      <c r="C260" s="167" t="s">
        <v>261</v>
      </c>
      <c r="D260" s="168" t="s">
        <v>192</v>
      </c>
      <c r="E260" s="169">
        <v>198.90620000000001</v>
      </c>
      <c r="F260" s="170">
        <v>40.770000000000003</v>
      </c>
      <c r="G260" s="100">
        <f t="shared" si="90"/>
        <v>8109.4057740000007</v>
      </c>
      <c r="H260" s="171">
        <f>-E261</f>
        <v>-21.12</v>
      </c>
      <c r="I260" s="172">
        <f t="shared" ref="I260:I262" si="96">F260</f>
        <v>40.770000000000003</v>
      </c>
      <c r="J260" s="103">
        <f t="shared" ref="J260:J262" si="97">IF(ISBLANK(I260),"",(H260*I260))</f>
        <v>-861.06240000000014</v>
      </c>
      <c r="K260" s="104">
        <f>E260+H260</f>
        <v>177.78620000000001</v>
      </c>
      <c r="L260" s="105">
        <f t="shared" ref="L260:L262" si="98">F260</f>
        <v>40.770000000000003</v>
      </c>
      <c r="M260" s="106">
        <f t="shared" ref="M260:M262" si="99">IF(ISBLANK(L260),"",(K260*L260))</f>
        <v>7248.3433740000009</v>
      </c>
    </row>
    <row r="261" spans="1:13" ht="22.5" x14ac:dyDescent="0.25">
      <c r="A261" s="165"/>
      <c r="B261" s="166"/>
      <c r="C261" s="173" t="s">
        <v>340</v>
      </c>
      <c r="D261" s="168"/>
      <c r="E261" s="173">
        <f>165*0.128</f>
        <v>21.12</v>
      </c>
      <c r="F261" s="170"/>
      <c r="G261" s="100"/>
      <c r="H261" s="171"/>
      <c r="I261" s="172"/>
      <c r="J261" s="103"/>
      <c r="K261" s="104"/>
      <c r="L261" s="105"/>
      <c r="M261" s="106"/>
    </row>
    <row r="262" spans="1:13" ht="30" x14ac:dyDescent="0.25">
      <c r="A262" s="165" t="s">
        <v>345</v>
      </c>
      <c r="B262" s="166" t="s">
        <v>263</v>
      </c>
      <c r="C262" s="167" t="s">
        <v>261</v>
      </c>
      <c r="D262" s="168" t="s">
        <v>192</v>
      </c>
      <c r="E262" s="169">
        <v>198.9</v>
      </c>
      <c r="F262" s="170">
        <v>144.75</v>
      </c>
      <c r="G262" s="100">
        <f t="shared" si="90"/>
        <v>28790.775000000001</v>
      </c>
      <c r="H262" s="171">
        <f>-E263</f>
        <v>-21.12</v>
      </c>
      <c r="I262" s="172">
        <f t="shared" si="96"/>
        <v>144.75</v>
      </c>
      <c r="J262" s="103">
        <f t="shared" si="97"/>
        <v>-3057.1200000000003</v>
      </c>
      <c r="K262" s="104">
        <f>E262+H262</f>
        <v>177.78</v>
      </c>
      <c r="L262" s="105">
        <f t="shared" si="98"/>
        <v>144.75</v>
      </c>
      <c r="M262" s="106">
        <f t="shared" si="99"/>
        <v>25733.654999999999</v>
      </c>
    </row>
    <row r="263" spans="1:13" ht="22.5" x14ac:dyDescent="0.25">
      <c r="A263" s="165"/>
      <c r="B263" s="166"/>
      <c r="C263" s="173" t="s">
        <v>340</v>
      </c>
      <c r="D263" s="168"/>
      <c r="E263" s="173">
        <f>165*0.128</f>
        <v>21.12</v>
      </c>
      <c r="F263" s="170"/>
      <c r="G263" s="100"/>
      <c r="H263" s="171"/>
      <c r="I263" s="172"/>
      <c r="J263" s="103"/>
      <c r="K263" s="104"/>
      <c r="L263" s="105"/>
      <c r="M263" s="106"/>
    </row>
    <row r="264" spans="1:13" ht="15.75" x14ac:dyDescent="0.25">
      <c r="A264" s="123"/>
      <c r="B264" s="123"/>
      <c r="C264" s="177"/>
      <c r="D264" s="164"/>
      <c r="E264" s="178"/>
      <c r="F264" s="175"/>
      <c r="G264" s="116"/>
      <c r="H264" s="159"/>
      <c r="I264" s="160"/>
      <c r="J264" s="103"/>
      <c r="K264" s="161"/>
      <c r="L264" s="162"/>
      <c r="M264" s="154"/>
    </row>
    <row r="265" spans="1:13" ht="15.75" x14ac:dyDescent="0.25">
      <c r="A265" s="123"/>
      <c r="B265" s="123"/>
      <c r="C265" s="123"/>
      <c r="D265" s="121"/>
      <c r="E265" s="124"/>
      <c r="F265" s="125"/>
      <c r="G265" s="116">
        <f>SUBTOTAL(9,G246:G262)</f>
        <v>293159.60477400001</v>
      </c>
      <c r="H265" s="127"/>
      <c r="I265" s="128"/>
      <c r="J265" s="103">
        <f>SUBTOTAL(9,J246:J262)</f>
        <v>-236981.92579999994</v>
      </c>
      <c r="K265" s="130"/>
      <c r="L265" s="130"/>
      <c r="M265" s="154">
        <f>SUBTOTAL(9,M246:M262)</f>
        <v>187091.97897399997</v>
      </c>
    </row>
    <row r="267" spans="1:13" x14ac:dyDescent="0.25">
      <c r="A267" s="270" t="s">
        <v>346</v>
      </c>
      <c r="B267" s="271"/>
      <c r="C267" s="271"/>
      <c r="D267" s="271"/>
      <c r="E267" s="68"/>
      <c r="F267" s="155"/>
      <c r="G267" s="69"/>
      <c r="H267" s="70"/>
      <c r="I267" s="71"/>
      <c r="J267" s="156"/>
      <c r="K267" s="157"/>
      <c r="L267" s="157"/>
      <c r="M267" s="158"/>
    </row>
    <row r="268" spans="1:13" x14ac:dyDescent="0.25">
      <c r="A268" s="41"/>
      <c r="B268" s="75"/>
      <c r="C268" s="75"/>
      <c r="D268" s="75"/>
      <c r="E268" s="68"/>
      <c r="F268" s="155"/>
      <c r="G268" s="69"/>
      <c r="H268" s="70"/>
      <c r="I268" s="71"/>
      <c r="J268" s="156"/>
      <c r="K268" s="157"/>
      <c r="L268" s="157"/>
      <c r="M268" s="158"/>
    </row>
    <row r="269" spans="1:13" ht="15.75" x14ac:dyDescent="0.25">
      <c r="A269" s="76" t="s">
        <v>48</v>
      </c>
      <c r="B269" s="77" t="s">
        <v>282</v>
      </c>
      <c r="C269" s="75"/>
      <c r="D269" s="75"/>
      <c r="E269" s="265" t="s">
        <v>50</v>
      </c>
      <c r="F269" s="265"/>
      <c r="G269" s="265"/>
      <c r="H269" s="266" t="s">
        <v>51</v>
      </c>
      <c r="I269" s="266"/>
      <c r="J269" s="266"/>
      <c r="K269" s="267" t="s">
        <v>16</v>
      </c>
      <c r="L269" s="267"/>
      <c r="M269" s="267"/>
    </row>
    <row r="270" spans="1:13" ht="24" x14ac:dyDescent="0.25">
      <c r="A270" s="78" t="s">
        <v>52</v>
      </c>
      <c r="B270" s="79" t="s">
        <v>53</v>
      </c>
      <c r="C270" s="78" t="s">
        <v>53</v>
      </c>
      <c r="D270" s="79" t="s">
        <v>54</v>
      </c>
      <c r="E270" s="80" t="s">
        <v>55</v>
      </c>
      <c r="F270" s="81" t="s">
        <v>56</v>
      </c>
      <c r="G270" s="82" t="s">
        <v>57</v>
      </c>
      <c r="H270" s="83" t="s">
        <v>55</v>
      </c>
      <c r="I270" s="84" t="s">
        <v>58</v>
      </c>
      <c r="J270" s="85" t="s">
        <v>57</v>
      </c>
      <c r="K270" s="86" t="s">
        <v>55</v>
      </c>
      <c r="L270" s="87" t="s">
        <v>58</v>
      </c>
      <c r="M270" s="88" t="s">
        <v>59</v>
      </c>
    </row>
    <row r="271" spans="1:13" x14ac:dyDescent="0.25">
      <c r="A271" s="89" t="s">
        <v>60</v>
      </c>
      <c r="B271" s="90" t="s">
        <v>61</v>
      </c>
      <c r="C271" s="91"/>
      <c r="D271" s="91"/>
      <c r="E271" s="91"/>
      <c r="F271" s="92"/>
      <c r="G271" s="93"/>
      <c r="H271" s="94"/>
      <c r="I271" s="94"/>
      <c r="J271" s="94"/>
      <c r="K271" s="93"/>
      <c r="L271" s="93"/>
      <c r="M271" s="93"/>
    </row>
    <row r="272" spans="1:13" ht="30" x14ac:dyDescent="0.25">
      <c r="A272" s="165" t="s">
        <v>173</v>
      </c>
      <c r="B272" s="166" t="s">
        <v>174</v>
      </c>
      <c r="C272" s="167" t="s">
        <v>175</v>
      </c>
      <c r="D272" s="168" t="s">
        <v>143</v>
      </c>
      <c r="E272" s="169">
        <v>214.4</v>
      </c>
      <c r="F272" s="170">
        <v>55.24</v>
      </c>
      <c r="G272" s="100">
        <f>IF(ISBLANK(F272),"",(E272*F272))</f>
        <v>11843.456</v>
      </c>
      <c r="H272" s="171">
        <f>-E272</f>
        <v>-214.4</v>
      </c>
      <c r="I272" s="172">
        <f>F272</f>
        <v>55.24</v>
      </c>
      <c r="J272" s="103">
        <f>IF(ISBLANK(I272),"",(H272*I272))</f>
        <v>-11843.456</v>
      </c>
      <c r="K272" s="104">
        <f>E272+H272</f>
        <v>0</v>
      </c>
      <c r="L272" s="105">
        <f>F272</f>
        <v>55.24</v>
      </c>
      <c r="M272" s="106">
        <f t="shared" ref="M272" si="100">IF(ISBLANK(L272),"",(K272*L272))</f>
        <v>0</v>
      </c>
    </row>
    <row r="273" spans="1:13" x14ac:dyDescent="0.25">
      <c r="A273" s="89" t="s">
        <v>173</v>
      </c>
      <c r="B273" s="90" t="s">
        <v>207</v>
      </c>
      <c r="C273" s="91"/>
      <c r="D273" s="91"/>
      <c r="E273" s="91"/>
      <c r="F273" s="92"/>
      <c r="G273" s="92"/>
      <c r="H273" s="92"/>
      <c r="I273" s="92"/>
      <c r="J273" s="92"/>
      <c r="K273" s="92"/>
      <c r="L273" s="92"/>
      <c r="M273" s="92"/>
    </row>
    <row r="274" spans="1:13" ht="30" x14ac:dyDescent="0.25">
      <c r="A274" s="165" t="s">
        <v>134</v>
      </c>
      <c r="B274" s="166" t="s">
        <v>141</v>
      </c>
      <c r="C274" s="167" t="s">
        <v>142</v>
      </c>
      <c r="D274" s="168" t="s">
        <v>143</v>
      </c>
      <c r="E274" s="169">
        <v>623</v>
      </c>
      <c r="F274" s="170">
        <v>23.2</v>
      </c>
      <c r="G274" s="100">
        <f t="shared" ref="G274:G286" si="101">IF(ISBLANK(F274),"",(E274*F274))</f>
        <v>14453.6</v>
      </c>
      <c r="H274" s="171">
        <f>-E272</f>
        <v>-214.4</v>
      </c>
      <c r="I274" s="172">
        <f t="shared" ref="I274:I282" si="102">F274</f>
        <v>23.2</v>
      </c>
      <c r="J274" s="103">
        <f t="shared" ref="J274:J282" si="103">IF(ISBLANK(I274),"",(H274*I274))</f>
        <v>-4974.08</v>
      </c>
      <c r="K274" s="104">
        <f>E274+H274</f>
        <v>408.6</v>
      </c>
      <c r="L274" s="105">
        <f t="shared" ref="L274:L282" si="104">F274</f>
        <v>23.2</v>
      </c>
      <c r="M274" s="106">
        <f t="shared" ref="M274:M282" si="105">IF(ISBLANK(L274),"",(K274*L274))</f>
        <v>9479.52</v>
      </c>
    </row>
    <row r="275" spans="1:13" ht="45" x14ac:dyDescent="0.25">
      <c r="A275" s="165" t="s">
        <v>347</v>
      </c>
      <c r="B275" s="166" t="s">
        <v>287</v>
      </c>
      <c r="C275" s="167" t="s">
        <v>288</v>
      </c>
      <c r="D275" s="168" t="s">
        <v>143</v>
      </c>
      <c r="E275" s="169">
        <v>214.4</v>
      </c>
      <c r="F275" s="170">
        <v>396.71</v>
      </c>
      <c r="G275" s="100">
        <f t="shared" si="101"/>
        <v>85054.623999999996</v>
      </c>
      <c r="H275" s="171">
        <f>-E275</f>
        <v>-214.4</v>
      </c>
      <c r="I275" s="172">
        <f t="shared" si="102"/>
        <v>396.71</v>
      </c>
      <c r="J275" s="103">
        <f t="shared" si="103"/>
        <v>-85054.623999999996</v>
      </c>
      <c r="K275" s="104">
        <f>E275+H275</f>
        <v>0</v>
      </c>
      <c r="L275" s="105">
        <f t="shared" si="104"/>
        <v>396.71</v>
      </c>
      <c r="M275" s="106">
        <f t="shared" si="105"/>
        <v>0</v>
      </c>
    </row>
    <row r="276" spans="1:13" x14ac:dyDescent="0.25">
      <c r="A276" s="89" t="s">
        <v>176</v>
      </c>
      <c r="B276" s="90" t="s">
        <v>289</v>
      </c>
      <c r="C276" s="91"/>
      <c r="D276" s="91"/>
      <c r="E276" s="91"/>
      <c r="F276" s="92"/>
      <c r="G276" s="92"/>
      <c r="H276" s="92"/>
      <c r="I276" s="92"/>
      <c r="J276" s="92"/>
      <c r="K276" s="92"/>
      <c r="L276" s="92"/>
      <c r="M276" s="92"/>
    </row>
    <row r="277" spans="1:13" ht="30" x14ac:dyDescent="0.25">
      <c r="A277" s="165" t="s">
        <v>325</v>
      </c>
      <c r="B277" s="166" t="s">
        <v>290</v>
      </c>
      <c r="C277" s="167" t="s">
        <v>291</v>
      </c>
      <c r="D277" s="168" t="s">
        <v>219</v>
      </c>
      <c r="E277" s="169">
        <v>262.39999999999998</v>
      </c>
      <c r="F277" s="170">
        <v>55.24</v>
      </c>
      <c r="G277" s="100">
        <f t="shared" si="101"/>
        <v>14494.975999999999</v>
      </c>
      <c r="H277" s="171">
        <f>-E277</f>
        <v>-262.39999999999998</v>
      </c>
      <c r="I277" s="172">
        <f t="shared" si="102"/>
        <v>55.24</v>
      </c>
      <c r="J277" s="103">
        <f t="shared" si="103"/>
        <v>-14494.975999999999</v>
      </c>
      <c r="K277" s="104">
        <f>E277+H277</f>
        <v>0</v>
      </c>
      <c r="L277" s="105">
        <f t="shared" si="104"/>
        <v>55.24</v>
      </c>
      <c r="M277" s="106">
        <f t="shared" si="105"/>
        <v>0</v>
      </c>
    </row>
    <row r="278" spans="1:13" ht="30" x14ac:dyDescent="0.25">
      <c r="A278" s="165" t="s">
        <v>244</v>
      </c>
      <c r="B278" s="166" t="s">
        <v>245</v>
      </c>
      <c r="C278" s="167" t="s">
        <v>246</v>
      </c>
      <c r="D278" s="168" t="s">
        <v>219</v>
      </c>
      <c r="E278" s="169">
        <v>262.39999999999998</v>
      </c>
      <c r="F278" s="170">
        <v>87.65</v>
      </c>
      <c r="G278" s="100">
        <f t="shared" si="101"/>
        <v>22999.360000000001</v>
      </c>
      <c r="H278" s="171">
        <f>-E278</f>
        <v>-262.39999999999998</v>
      </c>
      <c r="I278" s="172">
        <f t="shared" si="102"/>
        <v>87.65</v>
      </c>
      <c r="J278" s="103">
        <f t="shared" si="103"/>
        <v>-22999.360000000001</v>
      </c>
      <c r="K278" s="104">
        <f>E278+H278</f>
        <v>0</v>
      </c>
      <c r="L278" s="105">
        <f t="shared" si="104"/>
        <v>87.65</v>
      </c>
      <c r="M278" s="106">
        <f t="shared" si="105"/>
        <v>0</v>
      </c>
    </row>
    <row r="279" spans="1:13" x14ac:dyDescent="0.25">
      <c r="A279" s="89" t="s">
        <v>293</v>
      </c>
      <c r="B279" s="90" t="s">
        <v>294</v>
      </c>
      <c r="C279" s="91"/>
      <c r="D279" s="91"/>
      <c r="E279" s="91"/>
      <c r="F279" s="92"/>
      <c r="G279" s="92"/>
      <c r="H279" s="92"/>
      <c r="I279" s="92"/>
      <c r="J279" s="92"/>
      <c r="K279" s="92"/>
      <c r="L279" s="92"/>
      <c r="M279" s="92"/>
    </row>
    <row r="280" spans="1:13" ht="30" x14ac:dyDescent="0.25">
      <c r="A280" s="165" t="s">
        <v>247</v>
      </c>
      <c r="B280" s="166" t="s">
        <v>248</v>
      </c>
      <c r="C280" s="167" t="s">
        <v>249</v>
      </c>
      <c r="D280" s="168" t="s">
        <v>192</v>
      </c>
      <c r="E280" s="169">
        <v>403.3</v>
      </c>
      <c r="F280" s="170">
        <v>51.29</v>
      </c>
      <c r="G280" s="100">
        <f t="shared" si="101"/>
        <v>20685.257000000001</v>
      </c>
      <c r="H280" s="171">
        <f>-E281</f>
        <v>-27.443200000000001</v>
      </c>
      <c r="I280" s="172">
        <f t="shared" si="102"/>
        <v>51.29</v>
      </c>
      <c r="J280" s="103">
        <f t="shared" si="103"/>
        <v>-1407.5617280000001</v>
      </c>
      <c r="K280" s="104">
        <f>E280+H280</f>
        <v>375.85680000000002</v>
      </c>
      <c r="L280" s="105">
        <f t="shared" si="104"/>
        <v>51.29</v>
      </c>
      <c r="M280" s="106">
        <f t="shared" si="105"/>
        <v>19277.695272000001</v>
      </c>
    </row>
    <row r="281" spans="1:13" ht="22.5" x14ac:dyDescent="0.25">
      <c r="A281" s="165"/>
      <c r="B281" s="166"/>
      <c r="C281" s="173" t="s">
        <v>348</v>
      </c>
      <c r="D281" s="168"/>
      <c r="E281" s="173">
        <f>214.4*0.128</f>
        <v>27.443200000000001</v>
      </c>
      <c r="F281" s="170"/>
      <c r="G281" s="100"/>
      <c r="H281" s="171"/>
      <c r="I281" s="172"/>
      <c r="J281" s="103"/>
      <c r="K281" s="104"/>
      <c r="L281" s="105"/>
      <c r="M281" s="106"/>
    </row>
    <row r="282" spans="1:13" ht="45" x14ac:dyDescent="0.25">
      <c r="A282" s="165" t="s">
        <v>250</v>
      </c>
      <c r="B282" s="166" t="s">
        <v>251</v>
      </c>
      <c r="C282" s="167" t="s">
        <v>252</v>
      </c>
      <c r="D282" s="168" t="s">
        <v>192</v>
      </c>
      <c r="E282" s="169">
        <v>163.80000000000001</v>
      </c>
      <c r="F282" s="170">
        <v>257.77999999999997</v>
      </c>
      <c r="G282" s="100">
        <f t="shared" si="101"/>
        <v>42224.364000000001</v>
      </c>
      <c r="H282" s="171">
        <f>-E283</f>
        <v>-27.443200000000001</v>
      </c>
      <c r="I282" s="172">
        <f t="shared" si="102"/>
        <v>257.77999999999997</v>
      </c>
      <c r="J282" s="103">
        <f t="shared" si="103"/>
        <v>-7074.3080959999998</v>
      </c>
      <c r="K282" s="104">
        <f>E282+H282</f>
        <v>136.35680000000002</v>
      </c>
      <c r="L282" s="105">
        <f t="shared" si="104"/>
        <v>257.77999999999997</v>
      </c>
      <c r="M282" s="106">
        <f t="shared" si="105"/>
        <v>35150.055904000001</v>
      </c>
    </row>
    <row r="283" spans="1:13" ht="22.5" x14ac:dyDescent="0.25">
      <c r="A283" s="165"/>
      <c r="B283" s="166"/>
      <c r="C283" s="173" t="s">
        <v>348</v>
      </c>
      <c r="D283" s="168"/>
      <c r="E283" s="173">
        <f>214.4*0.128</f>
        <v>27.443200000000001</v>
      </c>
      <c r="F283" s="170"/>
      <c r="G283" s="100"/>
      <c r="H283" s="171"/>
      <c r="I283" s="172"/>
      <c r="J283" s="103"/>
      <c r="K283" s="104"/>
      <c r="L283" s="105"/>
      <c r="M283" s="106"/>
    </row>
    <row r="284" spans="1:13" ht="30" x14ac:dyDescent="0.25">
      <c r="A284" s="165" t="s">
        <v>259</v>
      </c>
      <c r="B284" s="166" t="s">
        <v>260</v>
      </c>
      <c r="C284" s="167" t="s">
        <v>261</v>
      </c>
      <c r="D284" s="168" t="s">
        <v>192</v>
      </c>
      <c r="E284" s="169">
        <v>403.28309999999999</v>
      </c>
      <c r="F284" s="170">
        <v>40.770000000000003</v>
      </c>
      <c r="G284" s="100">
        <f t="shared" si="101"/>
        <v>16441.851987000002</v>
      </c>
      <c r="H284" s="171">
        <f>-E285</f>
        <v>-27.443200000000001</v>
      </c>
      <c r="I284" s="172">
        <f t="shared" ref="I284:I286" si="106">F284</f>
        <v>40.770000000000003</v>
      </c>
      <c r="J284" s="103">
        <f t="shared" ref="J284:J286" si="107">IF(ISBLANK(I284),"",(H284*I284))</f>
        <v>-1118.8592640000002</v>
      </c>
      <c r="K284" s="104">
        <f>E284+H284</f>
        <v>375.8399</v>
      </c>
      <c r="L284" s="105">
        <f t="shared" ref="L284:L286" si="108">F284</f>
        <v>40.770000000000003</v>
      </c>
      <c r="M284" s="106">
        <f t="shared" ref="M284:M286" si="109">IF(ISBLANK(L284),"",(K284*L284))</f>
        <v>15322.992723000001</v>
      </c>
    </row>
    <row r="285" spans="1:13" ht="22.5" x14ac:dyDescent="0.25">
      <c r="A285" s="165"/>
      <c r="B285" s="166"/>
      <c r="C285" s="173" t="s">
        <v>348</v>
      </c>
      <c r="D285" s="168"/>
      <c r="E285" s="173">
        <f>214.4*0.128</f>
        <v>27.443200000000001</v>
      </c>
      <c r="F285" s="170"/>
      <c r="G285" s="100"/>
      <c r="H285" s="171"/>
      <c r="I285" s="172"/>
      <c r="J285" s="103"/>
      <c r="K285" s="104"/>
      <c r="L285" s="105"/>
      <c r="M285" s="106"/>
    </row>
    <row r="286" spans="1:13" ht="30" x14ac:dyDescent="0.25">
      <c r="A286" s="165" t="s">
        <v>262</v>
      </c>
      <c r="B286" s="166" t="s">
        <v>263</v>
      </c>
      <c r="C286" s="167" t="s">
        <v>261</v>
      </c>
      <c r="D286" s="168" t="s">
        <v>192</v>
      </c>
      <c r="E286" s="169">
        <v>403.3</v>
      </c>
      <c r="F286" s="170">
        <v>157.80000000000001</v>
      </c>
      <c r="G286" s="100">
        <f t="shared" si="101"/>
        <v>63640.740000000005</v>
      </c>
      <c r="H286" s="171">
        <f>-E287</f>
        <v>-27.443200000000001</v>
      </c>
      <c r="I286" s="172">
        <f t="shared" si="106"/>
        <v>157.80000000000001</v>
      </c>
      <c r="J286" s="103">
        <f t="shared" si="107"/>
        <v>-4330.5369600000004</v>
      </c>
      <c r="K286" s="104">
        <f>E286+H286</f>
        <v>375.85680000000002</v>
      </c>
      <c r="L286" s="105">
        <f t="shared" si="108"/>
        <v>157.80000000000001</v>
      </c>
      <c r="M286" s="106">
        <f t="shared" si="109"/>
        <v>59310.203040000008</v>
      </c>
    </row>
    <row r="287" spans="1:13" ht="22.5" x14ac:dyDescent="0.25">
      <c r="A287" s="165"/>
      <c r="B287" s="166"/>
      <c r="C287" s="173" t="s">
        <v>348</v>
      </c>
      <c r="D287" s="168"/>
      <c r="E287" s="173">
        <f>214.4*0.128</f>
        <v>27.443200000000001</v>
      </c>
      <c r="F287" s="170"/>
      <c r="G287" s="100"/>
      <c r="H287" s="171"/>
      <c r="I287" s="172"/>
      <c r="J287" s="103"/>
      <c r="K287" s="104"/>
      <c r="L287" s="105"/>
      <c r="M287" s="106"/>
    </row>
    <row r="288" spans="1:13" ht="15.75" x14ac:dyDescent="0.25">
      <c r="A288" s="123"/>
      <c r="B288" s="123"/>
      <c r="C288" s="177"/>
      <c r="D288" s="164"/>
      <c r="E288" s="178"/>
      <c r="F288" s="175"/>
      <c r="G288" s="116"/>
      <c r="H288" s="159"/>
      <c r="I288" s="160"/>
      <c r="J288" s="103"/>
      <c r="K288" s="161"/>
      <c r="L288" s="162"/>
      <c r="M288" s="154"/>
    </row>
    <row r="289" spans="1:13" ht="15.75" x14ac:dyDescent="0.25">
      <c r="A289" s="123"/>
      <c r="B289" s="123"/>
      <c r="C289" s="123"/>
      <c r="D289" s="121"/>
      <c r="E289" s="124"/>
      <c r="F289" s="125"/>
      <c r="G289" s="116">
        <f>SUBTOTAL(9,G272:G286)</f>
        <v>291838.22898700001</v>
      </c>
      <c r="H289" s="127"/>
      <c r="I289" s="128"/>
      <c r="J289" s="103">
        <f>SUBTOTAL(9,J272:J286)</f>
        <v>-153297.76204799998</v>
      </c>
      <c r="K289" s="130"/>
      <c r="L289" s="130"/>
      <c r="M289" s="154">
        <f>SUBTOTAL(9,M272:M286)</f>
        <v>138540.46693900001</v>
      </c>
    </row>
    <row r="291" spans="1:13" x14ac:dyDescent="0.25">
      <c r="A291" s="270" t="s">
        <v>349</v>
      </c>
      <c r="B291" s="271"/>
      <c r="C291" s="271"/>
      <c r="D291" s="271"/>
      <c r="E291" s="68"/>
      <c r="F291" s="155"/>
      <c r="G291" s="69"/>
      <c r="H291" s="70"/>
      <c r="I291" s="71"/>
      <c r="J291" s="156"/>
      <c r="K291" s="157"/>
      <c r="L291" s="157"/>
      <c r="M291" s="158"/>
    </row>
    <row r="292" spans="1:13" x14ac:dyDescent="0.25">
      <c r="A292" s="41"/>
      <c r="B292" s="75"/>
      <c r="C292" s="75"/>
      <c r="D292" s="75"/>
      <c r="E292" s="68"/>
      <c r="F292" s="155"/>
      <c r="G292" s="69"/>
      <c r="H292" s="70"/>
      <c r="I292" s="71"/>
      <c r="J292" s="156"/>
      <c r="K292" s="157"/>
      <c r="L292" s="157"/>
      <c r="M292" s="158"/>
    </row>
    <row r="293" spans="1:13" ht="15.75" x14ac:dyDescent="0.25">
      <c r="A293" s="76" t="s">
        <v>48</v>
      </c>
      <c r="B293" s="77" t="s">
        <v>282</v>
      </c>
      <c r="C293" s="75"/>
      <c r="D293" s="75"/>
      <c r="E293" s="265" t="s">
        <v>50</v>
      </c>
      <c r="F293" s="265"/>
      <c r="G293" s="265"/>
      <c r="H293" s="266" t="s">
        <v>51</v>
      </c>
      <c r="I293" s="266"/>
      <c r="J293" s="266"/>
      <c r="K293" s="267" t="s">
        <v>16</v>
      </c>
      <c r="L293" s="267"/>
      <c r="M293" s="267"/>
    </row>
    <row r="294" spans="1:13" ht="24" x14ac:dyDescent="0.25">
      <c r="A294" s="78" t="s">
        <v>52</v>
      </c>
      <c r="B294" s="79" t="s">
        <v>53</v>
      </c>
      <c r="C294" s="78" t="s">
        <v>53</v>
      </c>
      <c r="D294" s="79" t="s">
        <v>54</v>
      </c>
      <c r="E294" s="80" t="s">
        <v>55</v>
      </c>
      <c r="F294" s="81" t="s">
        <v>56</v>
      </c>
      <c r="G294" s="82" t="s">
        <v>57</v>
      </c>
      <c r="H294" s="83" t="s">
        <v>55</v>
      </c>
      <c r="I294" s="84" t="s">
        <v>58</v>
      </c>
      <c r="J294" s="85" t="s">
        <v>57</v>
      </c>
      <c r="K294" s="86" t="s">
        <v>55</v>
      </c>
      <c r="L294" s="87" t="s">
        <v>58</v>
      </c>
      <c r="M294" s="88" t="s">
        <v>59</v>
      </c>
    </row>
    <row r="295" spans="1:13" x14ac:dyDescent="0.25">
      <c r="A295" s="89" t="s">
        <v>60</v>
      </c>
      <c r="B295" s="90" t="s">
        <v>61</v>
      </c>
      <c r="C295" s="91"/>
      <c r="D295" s="91"/>
      <c r="E295" s="91"/>
      <c r="F295" s="92"/>
      <c r="G295" s="93"/>
      <c r="H295" s="94"/>
      <c r="I295" s="94"/>
      <c r="J295" s="94"/>
      <c r="K295" s="93"/>
      <c r="L295" s="93"/>
      <c r="M295" s="93"/>
    </row>
    <row r="296" spans="1:13" ht="30" x14ac:dyDescent="0.25">
      <c r="A296" s="165" t="s">
        <v>203</v>
      </c>
      <c r="B296" s="166" t="s">
        <v>174</v>
      </c>
      <c r="C296" s="167" t="s">
        <v>175</v>
      </c>
      <c r="D296" s="168" t="s">
        <v>143</v>
      </c>
      <c r="E296" s="169">
        <v>352.7</v>
      </c>
      <c r="F296" s="170">
        <v>55.24</v>
      </c>
      <c r="G296" s="100">
        <f>IF(ISBLANK(F296),"",(E296*F296))</f>
        <v>19483.148000000001</v>
      </c>
      <c r="H296" s="171">
        <f>-E296</f>
        <v>-352.7</v>
      </c>
      <c r="I296" s="172">
        <f>F296</f>
        <v>55.24</v>
      </c>
      <c r="J296" s="103">
        <f>IF(ISBLANK(I296),"",(H296*I296))</f>
        <v>-19483.148000000001</v>
      </c>
      <c r="K296" s="104">
        <f>E296+H296</f>
        <v>0</v>
      </c>
      <c r="L296" s="105">
        <f>F296</f>
        <v>55.24</v>
      </c>
      <c r="M296" s="106">
        <f t="shared" ref="M296" si="110">IF(ISBLANK(L296),"",(K296*L296))</f>
        <v>0</v>
      </c>
    </row>
    <row r="297" spans="1:13" x14ac:dyDescent="0.25">
      <c r="A297" s="89" t="s">
        <v>173</v>
      </c>
      <c r="B297" s="90" t="s">
        <v>207</v>
      </c>
      <c r="C297" s="91"/>
      <c r="D297" s="91"/>
      <c r="E297" s="91"/>
      <c r="F297" s="92"/>
      <c r="G297" s="92"/>
      <c r="H297" s="92"/>
      <c r="I297" s="92"/>
      <c r="J297" s="92"/>
      <c r="K297" s="92"/>
      <c r="L297" s="92"/>
      <c r="M297" s="92"/>
    </row>
    <row r="298" spans="1:13" ht="30" x14ac:dyDescent="0.25">
      <c r="A298" s="165" t="s">
        <v>127</v>
      </c>
      <c r="B298" s="166" t="s">
        <v>141</v>
      </c>
      <c r="C298" s="167" t="s">
        <v>142</v>
      </c>
      <c r="D298" s="168" t="s">
        <v>143</v>
      </c>
      <c r="E298" s="169">
        <v>352.7</v>
      </c>
      <c r="F298" s="170">
        <v>23.2</v>
      </c>
      <c r="G298" s="100">
        <f t="shared" ref="G298:G309" si="111">IF(ISBLANK(F298),"",(E298*F298))</f>
        <v>8182.6399999999994</v>
      </c>
      <c r="H298" s="171">
        <f>-E298</f>
        <v>-352.7</v>
      </c>
      <c r="I298" s="172">
        <f t="shared" ref="I298:I305" si="112">F298</f>
        <v>23.2</v>
      </c>
      <c r="J298" s="103">
        <f t="shared" ref="J298:J305" si="113">IF(ISBLANK(I298),"",(H298*I298))</f>
        <v>-8182.6399999999994</v>
      </c>
      <c r="K298" s="104">
        <f>E298+H298</f>
        <v>0</v>
      </c>
      <c r="L298" s="105">
        <f t="shared" ref="L298:L305" si="114">F298</f>
        <v>23.2</v>
      </c>
      <c r="M298" s="106">
        <f t="shared" ref="M298:M305" si="115">IF(ISBLANK(L298),"",(K298*L298))</f>
        <v>0</v>
      </c>
    </row>
    <row r="299" spans="1:13" ht="45" x14ac:dyDescent="0.25">
      <c r="A299" s="165" t="s">
        <v>129</v>
      </c>
      <c r="B299" s="166" t="s">
        <v>287</v>
      </c>
      <c r="C299" s="167" t="s">
        <v>288</v>
      </c>
      <c r="D299" s="168" t="s">
        <v>143</v>
      </c>
      <c r="E299" s="169">
        <v>352.7</v>
      </c>
      <c r="F299" s="170">
        <v>396.71</v>
      </c>
      <c r="G299" s="100">
        <f t="shared" si="111"/>
        <v>139919.617</v>
      </c>
      <c r="H299" s="171">
        <f>-E299</f>
        <v>-352.7</v>
      </c>
      <c r="I299" s="172">
        <f t="shared" si="112"/>
        <v>396.71</v>
      </c>
      <c r="J299" s="103">
        <f t="shared" si="113"/>
        <v>-139919.617</v>
      </c>
      <c r="K299" s="104">
        <f>E299+H299</f>
        <v>0</v>
      </c>
      <c r="L299" s="105">
        <f t="shared" si="114"/>
        <v>396.71</v>
      </c>
      <c r="M299" s="106">
        <f t="shared" si="115"/>
        <v>0</v>
      </c>
    </row>
    <row r="300" spans="1:13" x14ac:dyDescent="0.25">
      <c r="A300" s="89" t="s">
        <v>176</v>
      </c>
      <c r="B300" s="90" t="s">
        <v>289</v>
      </c>
      <c r="C300" s="91"/>
      <c r="D300" s="91"/>
      <c r="E300" s="91"/>
      <c r="F300" s="92"/>
      <c r="G300" s="92"/>
      <c r="H300" s="92"/>
      <c r="I300" s="92"/>
      <c r="J300" s="92"/>
      <c r="K300" s="92"/>
      <c r="L300" s="92"/>
      <c r="M300" s="92"/>
    </row>
    <row r="301" spans="1:13" ht="30" x14ac:dyDescent="0.25">
      <c r="A301" s="165" t="s">
        <v>350</v>
      </c>
      <c r="B301" s="166" t="s">
        <v>242</v>
      </c>
      <c r="C301" s="167" t="s">
        <v>243</v>
      </c>
      <c r="D301" s="168" t="s">
        <v>219</v>
      </c>
      <c r="E301" s="169">
        <v>248.3</v>
      </c>
      <c r="F301" s="170">
        <v>149.94</v>
      </c>
      <c r="G301" s="100">
        <f t="shared" si="111"/>
        <v>37230.101999999999</v>
      </c>
      <c r="H301" s="171">
        <f>-E301</f>
        <v>-248.3</v>
      </c>
      <c r="I301" s="172">
        <f t="shared" si="112"/>
        <v>149.94</v>
      </c>
      <c r="J301" s="103">
        <f t="shared" si="113"/>
        <v>-37230.101999999999</v>
      </c>
      <c r="K301" s="104">
        <f>E301+H301</f>
        <v>0</v>
      </c>
      <c r="L301" s="105">
        <f t="shared" si="114"/>
        <v>149.94</v>
      </c>
      <c r="M301" s="106">
        <f t="shared" si="115"/>
        <v>0</v>
      </c>
    </row>
    <row r="302" spans="1:13" x14ac:dyDescent="0.25">
      <c r="A302" s="89" t="s">
        <v>293</v>
      </c>
      <c r="B302" s="90" t="s">
        <v>294</v>
      </c>
      <c r="C302" s="91"/>
      <c r="D302" s="91"/>
      <c r="E302" s="91"/>
      <c r="F302" s="92"/>
      <c r="G302" s="92"/>
      <c r="H302" s="92"/>
      <c r="I302" s="92"/>
      <c r="J302" s="92"/>
      <c r="K302" s="92"/>
      <c r="L302" s="92"/>
      <c r="M302" s="92"/>
    </row>
    <row r="303" spans="1:13" ht="30" x14ac:dyDescent="0.25">
      <c r="A303" s="182" t="s">
        <v>231</v>
      </c>
      <c r="B303" s="166" t="s">
        <v>248</v>
      </c>
      <c r="C303" s="167" t="s">
        <v>249</v>
      </c>
      <c r="D303" s="168" t="s">
        <v>192</v>
      </c>
      <c r="E303" s="169">
        <v>276.89999999999998</v>
      </c>
      <c r="F303" s="170">
        <v>51.29</v>
      </c>
      <c r="G303" s="100">
        <f t="shared" si="111"/>
        <v>14202.200999999999</v>
      </c>
      <c r="H303" s="171">
        <f>-E304</f>
        <v>-45.145600000000002</v>
      </c>
      <c r="I303" s="172">
        <f t="shared" si="112"/>
        <v>51.29</v>
      </c>
      <c r="J303" s="103">
        <f t="shared" si="113"/>
        <v>-2315.517824</v>
      </c>
      <c r="K303" s="104">
        <f>E303+H303</f>
        <v>231.75439999999998</v>
      </c>
      <c r="L303" s="105">
        <f t="shared" si="114"/>
        <v>51.29</v>
      </c>
      <c r="M303" s="106">
        <f t="shared" si="115"/>
        <v>11886.683175999999</v>
      </c>
    </row>
    <row r="304" spans="1:13" ht="22.5" x14ac:dyDescent="0.25">
      <c r="A304" s="182"/>
      <c r="B304" s="166"/>
      <c r="C304" s="173" t="s">
        <v>351</v>
      </c>
      <c r="D304" s="168"/>
      <c r="E304" s="173">
        <f>352.7*0.128</f>
        <v>45.145600000000002</v>
      </c>
      <c r="F304" s="170"/>
      <c r="G304" s="100"/>
      <c r="H304" s="171"/>
      <c r="I304" s="172"/>
      <c r="J304" s="103"/>
      <c r="K304" s="104"/>
      <c r="L304" s="105"/>
      <c r="M304" s="106"/>
    </row>
    <row r="305" spans="1:13" ht="45" x14ac:dyDescent="0.25">
      <c r="A305" s="182" t="s">
        <v>234</v>
      </c>
      <c r="B305" s="166" t="s">
        <v>251</v>
      </c>
      <c r="C305" s="167" t="s">
        <v>252</v>
      </c>
      <c r="D305" s="168" t="s">
        <v>192</v>
      </c>
      <c r="E305" s="169">
        <v>96.4</v>
      </c>
      <c r="F305" s="170">
        <v>257.77999999999997</v>
      </c>
      <c r="G305" s="100">
        <f t="shared" si="111"/>
        <v>24849.991999999998</v>
      </c>
      <c r="H305" s="171">
        <f>-E306</f>
        <v>-45.145600000000002</v>
      </c>
      <c r="I305" s="172">
        <f t="shared" si="112"/>
        <v>257.77999999999997</v>
      </c>
      <c r="J305" s="103">
        <f t="shared" si="113"/>
        <v>-11637.632767999999</v>
      </c>
      <c r="K305" s="104">
        <f>E305+H305</f>
        <v>51.254400000000004</v>
      </c>
      <c r="L305" s="105">
        <f t="shared" si="114"/>
        <v>257.77999999999997</v>
      </c>
      <c r="M305" s="106">
        <f t="shared" si="115"/>
        <v>13212.359231999999</v>
      </c>
    </row>
    <row r="306" spans="1:13" ht="22.5" x14ac:dyDescent="0.25">
      <c r="A306" s="182"/>
      <c r="B306" s="166"/>
      <c r="C306" s="173" t="s">
        <v>351</v>
      </c>
      <c r="D306" s="168"/>
      <c r="E306" s="173">
        <f>352.7*0.128</f>
        <v>45.145600000000002</v>
      </c>
      <c r="F306" s="170"/>
      <c r="G306" s="100"/>
      <c r="H306" s="171"/>
      <c r="I306" s="172"/>
      <c r="J306" s="103"/>
      <c r="K306" s="104"/>
      <c r="L306" s="105"/>
      <c r="M306" s="106"/>
    </row>
    <row r="307" spans="1:13" ht="30" x14ac:dyDescent="0.25">
      <c r="A307" s="182" t="s">
        <v>304</v>
      </c>
      <c r="B307" s="166" t="s">
        <v>260</v>
      </c>
      <c r="C307" s="167" t="s">
        <v>261</v>
      </c>
      <c r="D307" s="168" t="s">
        <v>192</v>
      </c>
      <c r="E307" s="169">
        <v>276.93270000000001</v>
      </c>
      <c r="F307" s="170">
        <v>40.770000000000003</v>
      </c>
      <c r="G307" s="100">
        <f t="shared" si="111"/>
        <v>11290.546179000001</v>
      </c>
      <c r="H307" s="171">
        <f>-E308</f>
        <v>-45.145600000000002</v>
      </c>
      <c r="I307" s="172">
        <f t="shared" ref="I307:I309" si="116">F307</f>
        <v>40.770000000000003</v>
      </c>
      <c r="J307" s="103">
        <f t="shared" ref="J307:J309" si="117">IF(ISBLANK(I307),"",(H307*I307))</f>
        <v>-1840.5861120000002</v>
      </c>
      <c r="K307" s="104">
        <f>E307+H307</f>
        <v>231.78710000000001</v>
      </c>
      <c r="L307" s="105">
        <f t="shared" ref="L307:L309" si="118">F307</f>
        <v>40.770000000000003</v>
      </c>
      <c r="M307" s="106">
        <f t="shared" ref="M307:M309" si="119">IF(ISBLANK(L307),"",(K307*L307))</f>
        <v>9449.9600670000018</v>
      </c>
    </row>
    <row r="308" spans="1:13" ht="22.5" x14ac:dyDescent="0.25">
      <c r="A308" s="182"/>
      <c r="B308" s="166"/>
      <c r="C308" s="173" t="s">
        <v>351</v>
      </c>
      <c r="D308" s="168"/>
      <c r="E308" s="173">
        <f>352.7*0.128</f>
        <v>45.145600000000002</v>
      </c>
      <c r="F308" s="170"/>
      <c r="G308" s="100"/>
      <c r="H308" s="171"/>
      <c r="I308" s="172"/>
      <c r="J308" s="103"/>
      <c r="K308" s="104"/>
      <c r="L308" s="105"/>
      <c r="M308" s="106"/>
    </row>
    <row r="309" spans="1:13" ht="30" x14ac:dyDescent="0.25">
      <c r="A309" s="182" t="s">
        <v>237</v>
      </c>
      <c r="B309" s="166" t="s">
        <v>263</v>
      </c>
      <c r="C309" s="167" t="s">
        <v>261</v>
      </c>
      <c r="D309" s="168" t="s">
        <v>192</v>
      </c>
      <c r="E309" s="169">
        <v>276.89999999999998</v>
      </c>
      <c r="F309" s="170">
        <v>145.62</v>
      </c>
      <c r="G309" s="100">
        <f t="shared" si="111"/>
        <v>40322.178</v>
      </c>
      <c r="H309" s="171">
        <f>-E310</f>
        <v>-45.145600000000002</v>
      </c>
      <c r="I309" s="172">
        <f t="shared" si="116"/>
        <v>145.62</v>
      </c>
      <c r="J309" s="103">
        <f t="shared" si="117"/>
        <v>-6574.1022720000001</v>
      </c>
      <c r="K309" s="104">
        <f>E309+H309</f>
        <v>231.75439999999998</v>
      </c>
      <c r="L309" s="105">
        <f t="shared" si="118"/>
        <v>145.62</v>
      </c>
      <c r="M309" s="106">
        <f t="shared" si="119"/>
        <v>33748.075727999996</v>
      </c>
    </row>
    <row r="310" spans="1:13" ht="22.5" x14ac:dyDescent="0.25">
      <c r="A310" s="165"/>
      <c r="B310" s="166"/>
      <c r="C310" s="173" t="s">
        <v>351</v>
      </c>
      <c r="D310" s="168"/>
      <c r="E310" s="173">
        <f>352.7*0.128</f>
        <v>45.145600000000002</v>
      </c>
      <c r="F310" s="170"/>
      <c r="G310" s="100"/>
      <c r="H310" s="171"/>
      <c r="I310" s="172"/>
      <c r="J310" s="103"/>
      <c r="K310" s="104"/>
      <c r="L310" s="105"/>
      <c r="M310" s="106"/>
    </row>
    <row r="311" spans="1:13" ht="15.75" x14ac:dyDescent="0.25">
      <c r="A311" s="123"/>
      <c r="B311" s="123"/>
      <c r="C311" s="177"/>
      <c r="D311" s="164"/>
      <c r="E311" s="178"/>
      <c r="F311" s="175"/>
      <c r="G311" s="116"/>
      <c r="H311" s="159"/>
      <c r="I311" s="160"/>
      <c r="J311" s="103"/>
      <c r="K311" s="161"/>
      <c r="L311" s="162"/>
      <c r="M311" s="154"/>
    </row>
    <row r="312" spans="1:13" ht="15.75" x14ac:dyDescent="0.25">
      <c r="A312" s="123"/>
      <c r="B312" s="123"/>
      <c r="C312" s="123"/>
      <c r="D312" s="121"/>
      <c r="E312" s="124"/>
      <c r="F312" s="125"/>
      <c r="G312" s="116">
        <f>SUBTOTAL(9,G296:G309)</f>
        <v>295480.42417899997</v>
      </c>
      <c r="H312" s="127"/>
      <c r="I312" s="128"/>
      <c r="J312" s="103">
        <f>SUBTOTAL(9,J296:J309)</f>
        <v>-227183.34597599998</v>
      </c>
      <c r="K312" s="130"/>
      <c r="L312" s="130"/>
      <c r="M312" s="154">
        <f>SUBTOTAL(9,M296:M309)</f>
        <v>68297.078202999997</v>
      </c>
    </row>
    <row r="313" spans="1:13" ht="15.75" thickBot="1" x14ac:dyDescent="0.3"/>
    <row r="314" spans="1:13" ht="16.5" thickBot="1" x14ac:dyDescent="0.3">
      <c r="A314" s="132"/>
      <c r="B314" s="134"/>
      <c r="C314" s="135" t="s">
        <v>105</v>
      </c>
      <c r="D314" s="133"/>
      <c r="E314" s="136"/>
      <c r="F314" s="137"/>
      <c r="G314" s="138">
        <f>SUBTOTAL(9,G18:G313)</f>
        <v>3513728.4187049991</v>
      </c>
      <c r="H314" s="139"/>
      <c r="I314" s="139"/>
      <c r="J314" s="140">
        <f>SUBTOTAL(9,J19:J313)</f>
        <v>-2463276.9762000004</v>
      </c>
      <c r="K314" s="139"/>
      <c r="L314" s="139"/>
      <c r="M314" s="141">
        <f>SUBTOTAL(9,M19:M313)</f>
        <v>1181365.7425049997</v>
      </c>
    </row>
    <row r="315" spans="1:13" ht="15.75" x14ac:dyDescent="0.25">
      <c r="A315" s="121"/>
      <c r="B315" s="142"/>
      <c r="C315" s="143"/>
      <c r="D315" s="144"/>
      <c r="E315" s="145"/>
      <c r="F315" s="125"/>
      <c r="G315" s="146"/>
      <c r="H315" s="147"/>
      <c r="I315" s="148"/>
      <c r="J315" s="149"/>
      <c r="K315" s="150"/>
      <c r="L315" s="150"/>
      <c r="M315" s="151"/>
    </row>
    <row r="316" spans="1:13" ht="15.75" x14ac:dyDescent="0.25">
      <c r="A316" s="123"/>
      <c r="B316" s="31" t="s">
        <v>18</v>
      </c>
      <c r="C316" s="35" t="s">
        <v>106</v>
      </c>
      <c r="D316" s="123"/>
      <c r="E316" s="152"/>
      <c r="F316" s="123"/>
      <c r="G316" s="35" t="s">
        <v>20</v>
      </c>
      <c r="H316" s="147"/>
      <c r="I316" s="153"/>
      <c r="J316" s="149"/>
      <c r="K316" s="36" t="s">
        <v>22</v>
      </c>
      <c r="L316" s="151"/>
      <c r="M316" s="151"/>
    </row>
    <row r="317" spans="1:13" ht="15.75" x14ac:dyDescent="0.25">
      <c r="A317" s="123"/>
      <c r="B317" s="31"/>
      <c r="C317" s="35"/>
      <c r="D317" s="123"/>
      <c r="E317" s="152"/>
      <c r="F317" s="123"/>
      <c r="G317" s="35"/>
      <c r="H317" s="147"/>
      <c r="I317" s="153"/>
      <c r="J317" s="149"/>
      <c r="K317" s="36"/>
      <c r="L317" s="151"/>
      <c r="M317" s="151"/>
    </row>
    <row r="318" spans="1:13" ht="15.75" x14ac:dyDescent="0.25">
      <c r="A318" s="123"/>
      <c r="B318" s="31" t="s">
        <v>19</v>
      </c>
      <c r="C318" s="31" t="s">
        <v>107</v>
      </c>
      <c r="D318" s="123"/>
      <c r="E318" s="152"/>
      <c r="F318" s="123"/>
      <c r="G318" s="31" t="s">
        <v>19</v>
      </c>
      <c r="H318" s="147"/>
      <c r="I318" s="153"/>
      <c r="J318" s="149"/>
      <c r="K318" s="31" t="s">
        <v>19</v>
      </c>
      <c r="L318" s="151"/>
      <c r="M318" s="151"/>
    </row>
    <row r="319" spans="1:13" x14ac:dyDescent="0.25">
      <c r="A319" s="41"/>
      <c r="B319" s="75"/>
      <c r="C319" s="75"/>
      <c r="D319" s="75"/>
      <c r="E319" s="68"/>
      <c r="F319" s="163"/>
      <c r="G319" s="69"/>
      <c r="H319" s="70"/>
      <c r="I319" s="71"/>
      <c r="J319" s="156"/>
      <c r="K319" s="157"/>
      <c r="L319" s="157"/>
      <c r="M319" s="158"/>
    </row>
    <row r="324" spans="7:10" x14ac:dyDescent="0.25">
      <c r="G324" t="s">
        <v>367</v>
      </c>
      <c r="J324" s="247">
        <f>J177+J154+J126+J104+J82+J63+J36</f>
        <v>-601621.43562400003</v>
      </c>
    </row>
    <row r="325" spans="7:10" x14ac:dyDescent="0.25">
      <c r="G325" t="s">
        <v>368</v>
      </c>
      <c r="J325" s="247">
        <f>J312+J289+J265+J239+J217+J197</f>
        <v>-1861655.5405759998</v>
      </c>
    </row>
  </sheetData>
  <mergeCells count="49">
    <mergeCell ref="A291:D291"/>
    <mergeCell ref="E293:G293"/>
    <mergeCell ref="H293:J293"/>
    <mergeCell ref="K293:M293"/>
    <mergeCell ref="A241:D241"/>
    <mergeCell ref="E243:G243"/>
    <mergeCell ref="H243:J243"/>
    <mergeCell ref="K243:M243"/>
    <mergeCell ref="A267:D267"/>
    <mergeCell ref="E269:G269"/>
    <mergeCell ref="H269:J269"/>
    <mergeCell ref="K269:M269"/>
    <mergeCell ref="E221:G221"/>
    <mergeCell ref="H221:J221"/>
    <mergeCell ref="K221:M221"/>
    <mergeCell ref="A156:D156"/>
    <mergeCell ref="E158:G158"/>
    <mergeCell ref="H158:J158"/>
    <mergeCell ref="K158:M158"/>
    <mergeCell ref="A179:D179"/>
    <mergeCell ref="E181:G181"/>
    <mergeCell ref="H181:J181"/>
    <mergeCell ref="K181:M181"/>
    <mergeCell ref="A199:D199"/>
    <mergeCell ref="E201:G201"/>
    <mergeCell ref="H201:J201"/>
    <mergeCell ref="K201:M201"/>
    <mergeCell ref="A219:D219"/>
    <mergeCell ref="E130:G130"/>
    <mergeCell ref="H130:J130"/>
    <mergeCell ref="K130:M130"/>
    <mergeCell ref="A65:D65"/>
    <mergeCell ref="E67:G67"/>
    <mergeCell ref="H67:J67"/>
    <mergeCell ref="K67:M67"/>
    <mergeCell ref="A84:D84"/>
    <mergeCell ref="E86:G86"/>
    <mergeCell ref="H86:J86"/>
    <mergeCell ref="K86:M86"/>
    <mergeCell ref="A106:D106"/>
    <mergeCell ref="E108:G108"/>
    <mergeCell ref="H108:J108"/>
    <mergeCell ref="K108:M108"/>
    <mergeCell ref="A128:D128"/>
    <mergeCell ref="A14:D14"/>
    <mergeCell ref="E16:G16"/>
    <mergeCell ref="H16:J16"/>
    <mergeCell ref="K16:M16"/>
    <mergeCell ref="A38:D38"/>
  </mergeCells>
  <conditionalFormatting sqref="AB1:AH1 A1:Z1">
    <cfRule type="cellIs" dxfId="1" priority="2" stopIfTrue="1" operator="lessThan">
      <formula>0</formula>
    </cfRule>
  </conditionalFormatting>
  <conditionalFormatting sqref="E3">
    <cfRule type="cellIs" dxfId="0" priority="1" stopIfTrue="1" operator="lessThan">
      <formula>0</formula>
    </cfRule>
  </conditionalFormatting>
  <pageMargins left="0.7" right="0.7" top="0.78740157499999996" bottom="0.78740157499999996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81094-F172-4885-982A-1771F3F759C0}">
  <dimension ref="A1:AH129"/>
  <sheetViews>
    <sheetView view="pageBreakPreview" zoomScale="60" zoomScaleNormal="100" workbookViewId="0">
      <selection activeCell="D26" sqref="D26"/>
    </sheetView>
  </sheetViews>
  <sheetFormatPr defaultRowHeight="15" x14ac:dyDescent="0.25"/>
  <cols>
    <col min="3" max="3" width="14" customWidth="1"/>
    <col min="4" max="4" width="41.5703125" customWidth="1"/>
    <col min="7" max="7" width="9.7109375" bestFit="1" customWidth="1"/>
    <col min="8" max="8" width="11.140625" customWidth="1"/>
    <col min="11" max="11" width="18.42578125" bestFit="1" customWidth="1"/>
    <col min="13" max="13" width="11.42578125" bestFit="1" customWidth="1"/>
    <col min="14" max="14" width="18.42578125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37"/>
      <c r="I1" s="37"/>
      <c r="J1" s="37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D2" s="2" t="s">
        <v>0</v>
      </c>
      <c r="E2" s="43" t="s">
        <v>359</v>
      </c>
      <c r="F2" s="44"/>
      <c r="G2" s="45"/>
      <c r="H2" s="46"/>
      <c r="I2" s="46"/>
      <c r="J2" s="46"/>
      <c r="K2" s="47"/>
      <c r="L2" s="47"/>
      <c r="M2" s="47"/>
      <c r="N2" s="46"/>
      <c r="O2" s="48"/>
      <c r="P2" s="49"/>
      <c r="Q2" s="48"/>
      <c r="R2" s="46"/>
      <c r="S2" s="47"/>
      <c r="T2" s="46"/>
      <c r="U2" s="47"/>
      <c r="V2" s="46"/>
      <c r="W2" s="47"/>
      <c r="X2" s="46"/>
      <c r="Y2" s="47"/>
      <c r="Z2" s="46"/>
      <c r="AA2" s="47"/>
      <c r="AB2" s="46"/>
      <c r="AC2" s="47"/>
      <c r="AD2" s="46"/>
      <c r="AE2" s="50"/>
      <c r="AF2" s="51"/>
      <c r="AG2" s="52"/>
      <c r="AH2" s="53"/>
    </row>
    <row r="3" spans="1:34" s="41" customFormat="1" ht="15.75" x14ac:dyDescent="0.25">
      <c r="A3" s="4"/>
      <c r="B3" s="42"/>
      <c r="D3" s="2" t="s">
        <v>2</v>
      </c>
      <c r="E3" s="3" t="s">
        <v>360</v>
      </c>
      <c r="F3" s="44"/>
      <c r="G3" s="45"/>
      <c r="H3" s="46"/>
      <c r="I3" s="46"/>
      <c r="J3" s="46"/>
      <c r="K3" s="47"/>
      <c r="L3" s="47"/>
      <c r="M3" s="47"/>
      <c r="N3" s="46"/>
      <c r="O3" s="48"/>
      <c r="P3" s="49"/>
      <c r="Q3" s="48"/>
      <c r="R3" s="46"/>
      <c r="S3" s="47"/>
      <c r="T3" s="46"/>
      <c r="U3" s="47"/>
      <c r="V3" s="46"/>
      <c r="W3" s="47"/>
      <c r="X3" s="46"/>
      <c r="Y3" s="47"/>
      <c r="Z3" s="46"/>
      <c r="AA3" s="47"/>
      <c r="AB3" s="46"/>
      <c r="AC3" s="47"/>
      <c r="AD3" s="46"/>
      <c r="AE3" s="50"/>
      <c r="AF3" s="51"/>
      <c r="AG3" s="52"/>
      <c r="AH3" s="53"/>
    </row>
    <row r="4" spans="1:34" s="41" customFormat="1" ht="15.75" x14ac:dyDescent="0.25">
      <c r="A4" s="4"/>
      <c r="B4" s="42"/>
      <c r="D4" s="54" t="s">
        <v>3</v>
      </c>
      <c r="E4" s="55" t="s">
        <v>23</v>
      </c>
      <c r="F4" s="44"/>
      <c r="G4" s="45"/>
      <c r="H4" s="46"/>
      <c r="I4" s="46"/>
      <c r="J4" s="46"/>
      <c r="K4" s="47"/>
      <c r="L4" s="47"/>
      <c r="M4" s="47"/>
      <c r="N4" s="46"/>
      <c r="O4" s="48"/>
      <c r="P4" s="49"/>
      <c r="Q4" s="48"/>
      <c r="R4" s="46"/>
      <c r="S4" s="47"/>
      <c r="T4" s="46"/>
      <c r="U4" s="47"/>
      <c r="V4" s="46"/>
      <c r="W4" s="47"/>
      <c r="X4" s="46"/>
      <c r="Y4" s="47"/>
      <c r="Z4" s="46"/>
      <c r="AA4" s="47"/>
      <c r="AB4" s="46"/>
      <c r="AC4" s="47"/>
      <c r="AD4" s="46"/>
      <c r="AE4" s="50"/>
      <c r="AF4" s="51"/>
      <c r="AG4" s="52"/>
      <c r="AH4" s="53"/>
    </row>
    <row r="5" spans="1:34" s="41" customFormat="1" ht="15.75" x14ac:dyDescent="0.25">
      <c r="A5" s="42"/>
      <c r="B5" s="42"/>
      <c r="D5" s="54" t="s">
        <v>5</v>
      </c>
      <c r="E5" s="55"/>
      <c r="F5" s="56"/>
      <c r="G5" s="45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1" customFormat="1" ht="15.75" x14ac:dyDescent="0.25">
      <c r="A6" s="42"/>
      <c r="B6" s="42"/>
      <c r="D6" s="2" t="s">
        <v>7</v>
      </c>
      <c r="E6" s="55" t="s">
        <v>24</v>
      </c>
      <c r="F6" s="56"/>
      <c r="G6" s="45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1" customFormat="1" ht="15.75" x14ac:dyDescent="0.25">
      <c r="A7" s="42"/>
      <c r="B7" s="42"/>
      <c r="D7" s="2" t="s">
        <v>9</v>
      </c>
      <c r="E7" s="65" t="s">
        <v>10</v>
      </c>
      <c r="F7" s="56"/>
      <c r="G7" s="45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8" spans="1:34" s="41" customFormat="1" ht="15.75" x14ac:dyDescent="0.25">
      <c r="A8" s="42"/>
      <c r="B8" s="42"/>
      <c r="D8" s="2"/>
      <c r="E8" s="65"/>
      <c r="F8" s="56"/>
      <c r="G8" s="45"/>
      <c r="H8" s="57"/>
      <c r="I8" s="57"/>
      <c r="J8" s="57"/>
      <c r="K8" s="58"/>
      <c r="L8" s="58"/>
      <c r="M8" s="58"/>
      <c r="N8" s="57"/>
      <c r="O8" s="59"/>
      <c r="P8" s="60"/>
      <c r="Q8" s="59"/>
      <c r="R8" s="57"/>
      <c r="S8" s="58"/>
      <c r="T8" s="57"/>
      <c r="U8" s="58"/>
      <c r="V8" s="57"/>
      <c r="W8" s="58"/>
      <c r="X8" s="57"/>
      <c r="Y8" s="58"/>
      <c r="Z8" s="57"/>
      <c r="AA8" s="58"/>
      <c r="AB8" s="57"/>
      <c r="AC8" s="58"/>
      <c r="AD8" s="57"/>
      <c r="AE8" s="61"/>
      <c r="AF8" s="62"/>
      <c r="AG8" s="63"/>
      <c r="AH8" s="64"/>
    </row>
    <row r="9" spans="1:34" s="41" customFormat="1" ht="18" x14ac:dyDescent="0.25">
      <c r="A9" s="42"/>
      <c r="B9" s="183" t="s">
        <v>355</v>
      </c>
      <c r="D9" s="2"/>
      <c r="E9" s="65"/>
      <c r="F9" s="56"/>
      <c r="G9" s="45"/>
      <c r="H9" s="57"/>
      <c r="I9" s="57"/>
      <c r="J9" s="57"/>
      <c r="K9" s="58"/>
      <c r="L9" s="58"/>
      <c r="M9" s="58"/>
      <c r="N9" s="57"/>
      <c r="O9" s="59"/>
      <c r="P9" s="60"/>
      <c r="Q9" s="59"/>
      <c r="R9" s="57"/>
      <c r="S9" s="58"/>
      <c r="T9" s="57"/>
      <c r="U9" s="58"/>
      <c r="V9" s="57"/>
      <c r="W9" s="58"/>
      <c r="X9" s="57"/>
      <c r="Y9" s="58"/>
      <c r="Z9" s="57"/>
      <c r="AA9" s="58"/>
      <c r="AB9" s="57"/>
      <c r="AC9" s="58"/>
      <c r="AD9" s="57"/>
      <c r="AE9" s="61"/>
      <c r="AF9" s="62"/>
      <c r="AG9" s="63"/>
      <c r="AH9" s="64"/>
    </row>
    <row r="11" spans="1:34" x14ac:dyDescent="0.25">
      <c r="A11" s="268" t="s">
        <v>369</v>
      </c>
      <c r="B11" s="268"/>
      <c r="C11" s="269"/>
      <c r="D11" s="269"/>
      <c r="E11" s="269"/>
      <c r="F11" s="68"/>
      <c r="G11" s="68"/>
      <c r="H11" s="69"/>
      <c r="I11" s="70"/>
      <c r="J11" s="71"/>
      <c r="K11" s="72"/>
      <c r="L11" s="73"/>
      <c r="M11" s="73"/>
      <c r="N11" s="74"/>
    </row>
    <row r="12" spans="1:34" x14ac:dyDescent="0.25">
      <c r="A12" s="75"/>
      <c r="B12" s="75"/>
      <c r="C12" s="75"/>
      <c r="D12" s="75"/>
      <c r="E12" s="75"/>
      <c r="F12" s="68"/>
      <c r="G12" s="68"/>
      <c r="H12" s="69"/>
      <c r="I12" s="70"/>
      <c r="J12" s="71"/>
      <c r="K12" s="72"/>
      <c r="L12" s="73"/>
      <c r="M12" s="73"/>
      <c r="N12" s="74"/>
    </row>
    <row r="13" spans="1:34" ht="15.75" x14ac:dyDescent="0.25">
      <c r="A13" s="76" t="s">
        <v>48</v>
      </c>
      <c r="B13" s="76"/>
      <c r="C13" s="77" t="s">
        <v>49</v>
      </c>
      <c r="D13" s="75"/>
      <c r="E13" s="75"/>
      <c r="F13" s="265" t="s">
        <v>50</v>
      </c>
      <c r="G13" s="265"/>
      <c r="H13" s="265"/>
      <c r="I13" s="266" t="s">
        <v>51</v>
      </c>
      <c r="J13" s="266"/>
      <c r="K13" s="266"/>
      <c r="L13" s="267" t="s">
        <v>16</v>
      </c>
      <c r="M13" s="267"/>
      <c r="N13" s="267"/>
    </row>
    <row r="14" spans="1:34" ht="24" x14ac:dyDescent="0.25">
      <c r="A14" s="78" t="s">
        <v>52</v>
      </c>
      <c r="B14" s="78"/>
      <c r="C14" s="79" t="s">
        <v>53</v>
      </c>
      <c r="D14" s="78" t="s">
        <v>53</v>
      </c>
      <c r="E14" s="79" t="s">
        <v>54</v>
      </c>
      <c r="F14" s="80" t="s">
        <v>55</v>
      </c>
      <c r="G14" s="81" t="s">
        <v>56</v>
      </c>
      <c r="H14" s="82" t="s">
        <v>57</v>
      </c>
      <c r="I14" s="83" t="s">
        <v>55</v>
      </c>
      <c r="J14" s="84" t="s">
        <v>58</v>
      </c>
      <c r="K14" s="85" t="s">
        <v>57</v>
      </c>
      <c r="L14" s="86" t="s">
        <v>55</v>
      </c>
      <c r="M14" s="87" t="s">
        <v>58</v>
      </c>
      <c r="N14" s="88" t="s">
        <v>59</v>
      </c>
    </row>
    <row r="15" spans="1:34" x14ac:dyDescent="0.25">
      <c r="A15" s="89" t="s">
        <v>60</v>
      </c>
      <c r="B15" s="89"/>
      <c r="C15" s="90" t="s">
        <v>61</v>
      </c>
      <c r="D15" s="91"/>
      <c r="E15" s="91"/>
      <c r="F15" s="91"/>
      <c r="G15" s="92"/>
      <c r="H15" s="93"/>
      <c r="I15" s="94"/>
      <c r="J15" s="94"/>
      <c r="K15" s="94"/>
      <c r="L15" s="93"/>
      <c r="M15" s="93"/>
      <c r="N15" s="93"/>
    </row>
    <row r="16" spans="1:34" ht="25.5" x14ac:dyDescent="0.25">
      <c r="A16" s="95" t="s">
        <v>62</v>
      </c>
      <c r="B16" s="95" t="s">
        <v>63</v>
      </c>
      <c r="C16" s="96" t="s">
        <v>64</v>
      </c>
      <c r="D16" s="97" t="s">
        <v>65</v>
      </c>
      <c r="E16" s="98" t="s">
        <v>66</v>
      </c>
      <c r="F16" s="99"/>
      <c r="G16" s="99">
        <v>257.77999999999997</v>
      </c>
      <c r="H16" s="100">
        <f t="shared" ref="H16:H47" si="0">IF(ISBLANK(G16),"",(F16*G16))</f>
        <v>0</v>
      </c>
      <c r="I16" s="101">
        <v>-336.38900000000001</v>
      </c>
      <c r="J16" s="102">
        <f>G16</f>
        <v>257.77999999999997</v>
      </c>
      <c r="K16" s="103">
        <f>IF(ISBLANK(J16),"",(I16*J16))</f>
        <v>-86714.356419999996</v>
      </c>
      <c r="L16" s="104">
        <f>F16+I16</f>
        <v>-336.38900000000001</v>
      </c>
      <c r="M16" s="105">
        <f>G16</f>
        <v>257.77999999999997</v>
      </c>
      <c r="N16" s="106">
        <f>IF(ISBLANK(M16),"",(L16*M16))</f>
        <v>-86714.356419999996</v>
      </c>
      <c r="P16" s="254">
        <f>J19-J16</f>
        <v>858.83999999999992</v>
      </c>
      <c r="Q16">
        <v>246649.36</v>
      </c>
      <c r="R16">
        <f>Q16/P16</f>
        <v>287.18895254063619</v>
      </c>
    </row>
    <row r="17" spans="1:14" ht="22.5" x14ac:dyDescent="0.25">
      <c r="A17" s="107"/>
      <c r="B17" s="107"/>
      <c r="C17" s="107"/>
      <c r="D17" s="108" t="s">
        <v>67</v>
      </c>
      <c r="E17" s="107"/>
      <c r="F17" s="107"/>
      <c r="G17" s="107"/>
      <c r="H17" s="100" t="str">
        <f t="shared" si="0"/>
        <v/>
      </c>
      <c r="I17" s="101"/>
      <c r="J17" s="102"/>
      <c r="K17" s="103"/>
      <c r="L17" s="104"/>
      <c r="M17" s="105"/>
      <c r="N17" s="106"/>
    </row>
    <row r="18" spans="1:14" x14ac:dyDescent="0.25">
      <c r="A18" s="107"/>
      <c r="B18" s="107"/>
      <c r="C18" s="107"/>
      <c r="D18" s="109" t="s">
        <v>68</v>
      </c>
      <c r="E18" s="107"/>
      <c r="F18" s="107"/>
      <c r="G18" s="107"/>
      <c r="H18" s="100" t="str">
        <f t="shared" si="0"/>
        <v/>
      </c>
      <c r="I18" s="101"/>
      <c r="J18" s="102"/>
      <c r="K18" s="103"/>
      <c r="L18" s="104"/>
      <c r="M18" s="105"/>
      <c r="N18" s="106"/>
    </row>
    <row r="19" spans="1:14" ht="38.25" x14ac:dyDescent="0.25">
      <c r="A19" s="95" t="s">
        <v>69</v>
      </c>
      <c r="B19" s="95" t="s">
        <v>63</v>
      </c>
      <c r="C19" s="96" t="s">
        <v>70</v>
      </c>
      <c r="D19" s="97" t="s">
        <v>71</v>
      </c>
      <c r="E19" s="98" t="s">
        <v>66</v>
      </c>
      <c r="F19" s="99"/>
      <c r="G19" s="99">
        <v>1116.6199999999999</v>
      </c>
      <c r="H19" s="100">
        <f t="shared" si="0"/>
        <v>0</v>
      </c>
      <c r="I19" s="101">
        <v>336.38900000000001</v>
      </c>
      <c r="J19" s="102">
        <f>G19</f>
        <v>1116.6199999999999</v>
      </c>
      <c r="K19" s="103">
        <f>IF(ISBLANK(J19),"",(I19*J19))</f>
        <v>375618.68517999997</v>
      </c>
      <c r="L19" s="104">
        <f>F19+I19</f>
        <v>336.38900000000001</v>
      </c>
      <c r="M19" s="105">
        <f>G19</f>
        <v>1116.6199999999999</v>
      </c>
      <c r="N19" s="106">
        <f>IF(ISBLANK(M19),"",(L19*M19))</f>
        <v>375618.68517999997</v>
      </c>
    </row>
    <row r="20" spans="1:14" x14ac:dyDescent="0.25">
      <c r="A20" s="107"/>
      <c r="B20" s="107"/>
      <c r="C20" s="107"/>
      <c r="D20" s="109" t="s">
        <v>72</v>
      </c>
      <c r="E20" s="107"/>
      <c r="F20" s="107"/>
      <c r="G20" s="107"/>
      <c r="H20" s="100" t="str">
        <f t="shared" si="0"/>
        <v/>
      </c>
      <c r="I20" s="101"/>
      <c r="J20" s="102"/>
      <c r="K20" s="103"/>
      <c r="L20" s="104"/>
      <c r="M20" s="105"/>
      <c r="N20" s="106"/>
    </row>
    <row r="21" spans="1:14" ht="25.5" x14ac:dyDescent="0.25">
      <c r="A21" s="95" t="s">
        <v>73</v>
      </c>
      <c r="B21" s="95" t="s">
        <v>63</v>
      </c>
      <c r="C21" s="96" t="s">
        <v>74</v>
      </c>
      <c r="D21" s="97" t="s">
        <v>75</v>
      </c>
      <c r="E21" s="98" t="s">
        <v>76</v>
      </c>
      <c r="F21" s="99"/>
      <c r="G21" s="99">
        <v>615.52</v>
      </c>
      <c r="H21" s="100">
        <f t="shared" si="0"/>
        <v>0</v>
      </c>
      <c r="I21" s="101">
        <v>-0.4</v>
      </c>
      <c r="J21" s="102">
        <f>G21</f>
        <v>615.52</v>
      </c>
      <c r="K21" s="103">
        <f>IF(ISBLANK(J21),"",(I21*J21))</f>
        <v>-246.208</v>
      </c>
      <c r="L21" s="104">
        <f>F21+I21</f>
        <v>-0.4</v>
      </c>
      <c r="M21" s="105">
        <f>G21</f>
        <v>615.52</v>
      </c>
      <c r="N21" s="106">
        <f>IF(ISBLANK(M21),"",(L21*M21))</f>
        <v>-246.208</v>
      </c>
    </row>
    <row r="22" spans="1:14" x14ac:dyDescent="0.25">
      <c r="A22" s="107"/>
      <c r="B22" s="107"/>
      <c r="C22" s="107"/>
      <c r="D22" s="108" t="s">
        <v>77</v>
      </c>
      <c r="E22" s="107"/>
      <c r="F22" s="107"/>
      <c r="G22" s="110"/>
      <c r="H22" s="100" t="str">
        <f t="shared" si="0"/>
        <v/>
      </c>
      <c r="I22" s="101"/>
      <c r="J22" s="102"/>
      <c r="K22" s="103"/>
      <c r="L22" s="104"/>
      <c r="M22" s="105"/>
      <c r="N22" s="106"/>
    </row>
    <row r="23" spans="1:14" x14ac:dyDescent="0.25">
      <c r="A23" s="107"/>
      <c r="B23" s="107"/>
      <c r="C23" s="107"/>
      <c r="D23" s="109" t="s">
        <v>78</v>
      </c>
      <c r="E23" s="107"/>
      <c r="F23" s="107"/>
      <c r="G23" s="110"/>
      <c r="H23" s="100" t="str">
        <f t="shared" si="0"/>
        <v/>
      </c>
      <c r="I23" s="101"/>
      <c r="J23" s="102"/>
      <c r="K23" s="103"/>
      <c r="L23" s="104"/>
      <c r="M23" s="105"/>
      <c r="N23" s="106"/>
    </row>
    <row r="24" spans="1:14" ht="38.25" x14ac:dyDescent="0.25">
      <c r="A24" s="95" t="s">
        <v>69</v>
      </c>
      <c r="B24" s="95" t="s">
        <v>63</v>
      </c>
      <c r="C24" s="96" t="s">
        <v>70</v>
      </c>
      <c r="D24" s="97" t="s">
        <v>71</v>
      </c>
      <c r="E24" s="98" t="s">
        <v>66</v>
      </c>
      <c r="F24" s="99"/>
      <c r="G24" s="99">
        <v>1116.6199999999999</v>
      </c>
      <c r="H24" s="100">
        <f t="shared" si="0"/>
        <v>0</v>
      </c>
      <c r="I24" s="101">
        <v>0.4</v>
      </c>
      <c r="J24" s="102">
        <f>G24</f>
        <v>1116.6199999999999</v>
      </c>
      <c r="K24" s="103">
        <f>IF(ISBLANK(J24),"",(I24*J24))</f>
        <v>446.64799999999997</v>
      </c>
      <c r="L24" s="104">
        <f>F24+I24</f>
        <v>0.4</v>
      </c>
      <c r="M24" s="105">
        <f>G24</f>
        <v>1116.6199999999999</v>
      </c>
      <c r="N24" s="106">
        <f>IF(ISBLANK(M24),"",(L24*M24))</f>
        <v>446.64799999999997</v>
      </c>
    </row>
    <row r="25" spans="1:14" x14ac:dyDescent="0.25">
      <c r="A25" s="107"/>
      <c r="B25" s="107"/>
      <c r="C25" s="107"/>
      <c r="D25" s="109" t="s">
        <v>72</v>
      </c>
      <c r="E25" s="107"/>
      <c r="F25" s="107"/>
      <c r="G25" s="110"/>
      <c r="H25" s="100" t="str">
        <f t="shared" si="0"/>
        <v/>
      </c>
      <c r="I25" s="101"/>
      <c r="J25" s="102"/>
      <c r="K25" s="103"/>
      <c r="L25" s="104"/>
      <c r="M25" s="105"/>
      <c r="N25" s="106"/>
    </row>
    <row r="26" spans="1:14" ht="25.5" x14ac:dyDescent="0.25">
      <c r="A26" s="95" t="s">
        <v>79</v>
      </c>
      <c r="B26" s="95" t="s">
        <v>63</v>
      </c>
      <c r="C26" s="96" t="s">
        <v>80</v>
      </c>
      <c r="D26" s="97" t="s">
        <v>81</v>
      </c>
      <c r="E26" s="98" t="s">
        <v>76</v>
      </c>
      <c r="F26" s="99"/>
      <c r="G26" s="99">
        <v>315.64999999999998</v>
      </c>
      <c r="H26" s="100">
        <f t="shared" si="0"/>
        <v>0</v>
      </c>
      <c r="I26" s="101">
        <v>-7.5</v>
      </c>
      <c r="J26" s="102">
        <f>G26</f>
        <v>315.64999999999998</v>
      </c>
      <c r="K26" s="103">
        <f>IF(ISBLANK(J26),"",(I26*J26))</f>
        <v>-2367.375</v>
      </c>
      <c r="L26" s="104">
        <f>F26+I26</f>
        <v>-7.5</v>
      </c>
      <c r="M26" s="105">
        <f>G26</f>
        <v>315.64999999999998</v>
      </c>
      <c r="N26" s="106">
        <f>IF(ISBLANK(M26),"",(L26*M26))</f>
        <v>-2367.375</v>
      </c>
    </row>
    <row r="27" spans="1:14" ht="22.5" x14ac:dyDescent="0.25">
      <c r="A27" s="107"/>
      <c r="B27" s="107"/>
      <c r="C27" s="107"/>
      <c r="D27" s="108" t="s">
        <v>67</v>
      </c>
      <c r="E27" s="107"/>
      <c r="F27" s="107"/>
      <c r="G27" s="110"/>
      <c r="H27" s="100" t="str">
        <f t="shared" si="0"/>
        <v/>
      </c>
      <c r="I27" s="101"/>
      <c r="J27" s="102"/>
      <c r="K27" s="103"/>
      <c r="L27" s="104"/>
      <c r="M27" s="105"/>
      <c r="N27" s="106"/>
    </row>
    <row r="28" spans="1:14" x14ac:dyDescent="0.25">
      <c r="A28" s="107"/>
      <c r="B28" s="107"/>
      <c r="C28" s="107"/>
      <c r="D28" s="109" t="s">
        <v>82</v>
      </c>
      <c r="E28" s="107"/>
      <c r="F28" s="107"/>
      <c r="G28" s="110"/>
      <c r="H28" s="100" t="str">
        <f t="shared" si="0"/>
        <v/>
      </c>
      <c r="I28" s="101"/>
      <c r="J28" s="102"/>
      <c r="K28" s="103"/>
      <c r="L28" s="104"/>
      <c r="M28" s="105"/>
      <c r="N28" s="106"/>
    </row>
    <row r="29" spans="1:14" ht="38.25" x14ac:dyDescent="0.25">
      <c r="A29" s="95" t="s">
        <v>69</v>
      </c>
      <c r="B29" s="95" t="s">
        <v>63</v>
      </c>
      <c r="C29" s="96" t="s">
        <v>70</v>
      </c>
      <c r="D29" s="97" t="s">
        <v>71</v>
      </c>
      <c r="E29" s="98" t="s">
        <v>66</v>
      </c>
      <c r="F29" s="99"/>
      <c r="G29" s="99">
        <v>1116.6199999999999</v>
      </c>
      <c r="H29" s="100">
        <f t="shared" si="0"/>
        <v>0</v>
      </c>
      <c r="I29" s="101">
        <v>7.5</v>
      </c>
      <c r="J29" s="102">
        <f>G29</f>
        <v>1116.6199999999999</v>
      </c>
      <c r="K29" s="103">
        <f>IF(ISBLANK(J29),"",(I29*J29))</f>
        <v>8374.65</v>
      </c>
      <c r="L29" s="104">
        <f>F29+I29</f>
        <v>7.5</v>
      </c>
      <c r="M29" s="105">
        <f>G29</f>
        <v>1116.6199999999999</v>
      </c>
      <c r="N29" s="106">
        <f>IF(ISBLANK(M29),"",(L29*M29))</f>
        <v>8374.65</v>
      </c>
    </row>
    <row r="30" spans="1:14" x14ac:dyDescent="0.25">
      <c r="A30" s="107"/>
      <c r="B30" s="107"/>
      <c r="C30" s="107"/>
      <c r="D30" s="109" t="s">
        <v>72</v>
      </c>
      <c r="E30" s="107"/>
      <c r="F30" s="107"/>
      <c r="G30" s="110"/>
      <c r="H30" s="100" t="str">
        <f t="shared" si="0"/>
        <v/>
      </c>
      <c r="I30" s="101"/>
      <c r="J30" s="102"/>
      <c r="K30" s="103"/>
      <c r="L30" s="104"/>
      <c r="M30" s="105"/>
      <c r="N30" s="106"/>
    </row>
    <row r="31" spans="1:14" ht="25.5" x14ac:dyDescent="0.25">
      <c r="A31" s="95" t="s">
        <v>83</v>
      </c>
      <c r="B31" s="95" t="s">
        <v>63</v>
      </c>
      <c r="C31" s="96" t="s">
        <v>84</v>
      </c>
      <c r="D31" s="97" t="s">
        <v>85</v>
      </c>
      <c r="E31" s="98" t="s">
        <v>76</v>
      </c>
      <c r="F31" s="99"/>
      <c r="G31" s="99">
        <v>13.15</v>
      </c>
      <c r="H31" s="100">
        <f t="shared" si="0"/>
        <v>0</v>
      </c>
      <c r="I31" s="101">
        <v>-6.3</v>
      </c>
      <c r="J31" s="102">
        <f>G31</f>
        <v>13.15</v>
      </c>
      <c r="K31" s="103">
        <f>IF(ISBLANK(J31),"",(I31*J31))</f>
        <v>-82.844999999999999</v>
      </c>
      <c r="L31" s="104">
        <f>F31+I31</f>
        <v>-6.3</v>
      </c>
      <c r="M31" s="105">
        <f>G31</f>
        <v>13.15</v>
      </c>
      <c r="N31" s="106">
        <f>IF(ISBLANK(M31),"",(L31*M31))</f>
        <v>-82.844999999999999</v>
      </c>
    </row>
    <row r="32" spans="1:14" ht="33.75" x14ac:dyDescent="0.25">
      <c r="A32" s="107"/>
      <c r="B32" s="107"/>
      <c r="C32" s="107"/>
      <c r="D32" s="108" t="s">
        <v>86</v>
      </c>
      <c r="E32" s="107"/>
      <c r="F32" s="107"/>
      <c r="G32" s="107"/>
      <c r="H32" s="100" t="str">
        <f t="shared" si="0"/>
        <v/>
      </c>
      <c r="I32" s="101"/>
      <c r="J32" s="102"/>
      <c r="K32" s="103"/>
      <c r="L32" s="104"/>
      <c r="M32" s="105"/>
      <c r="N32" s="106"/>
    </row>
    <row r="33" spans="1:14" x14ac:dyDescent="0.25">
      <c r="A33" s="107"/>
      <c r="B33" s="107"/>
      <c r="C33" s="107"/>
      <c r="D33" s="109" t="s">
        <v>87</v>
      </c>
      <c r="E33" s="107"/>
      <c r="F33" s="107"/>
      <c r="G33" s="107"/>
      <c r="H33" s="100" t="str">
        <f t="shared" si="0"/>
        <v/>
      </c>
      <c r="I33" s="101"/>
      <c r="J33" s="102"/>
      <c r="K33" s="103"/>
      <c r="L33" s="104"/>
      <c r="M33" s="105"/>
      <c r="N33" s="106"/>
    </row>
    <row r="34" spans="1:14" ht="25.5" x14ac:dyDescent="0.25">
      <c r="A34" s="95" t="s">
        <v>83</v>
      </c>
      <c r="B34" s="95" t="s">
        <v>88</v>
      </c>
      <c r="C34" s="96">
        <v>161151123</v>
      </c>
      <c r="D34" s="97" t="s">
        <v>89</v>
      </c>
      <c r="E34" s="98" t="s">
        <v>76</v>
      </c>
      <c r="F34" s="99"/>
      <c r="G34" s="99">
        <v>169.1</v>
      </c>
      <c r="H34" s="100">
        <f t="shared" si="0"/>
        <v>0</v>
      </c>
      <c r="I34" s="101">
        <v>6.25</v>
      </c>
      <c r="J34" s="102">
        <f>G34</f>
        <v>169.1</v>
      </c>
      <c r="K34" s="103">
        <f>IF(ISBLANK(J34),"",(I34*J34))</f>
        <v>1056.875</v>
      </c>
      <c r="L34" s="104">
        <f>F34+I34</f>
        <v>6.25</v>
      </c>
      <c r="M34" s="105">
        <f>G34</f>
        <v>169.1</v>
      </c>
      <c r="N34" s="106">
        <f>IF(ISBLANK(M34),"",(L34*M34))</f>
        <v>1056.875</v>
      </c>
    </row>
    <row r="35" spans="1:14" x14ac:dyDescent="0.25">
      <c r="A35" s="107"/>
      <c r="B35" s="107"/>
      <c r="C35" s="107"/>
      <c r="D35" s="109" t="s">
        <v>90</v>
      </c>
      <c r="E35" s="107"/>
      <c r="F35" s="107"/>
      <c r="G35" s="107"/>
      <c r="H35" s="100" t="str">
        <f t="shared" si="0"/>
        <v/>
      </c>
      <c r="I35" s="101"/>
      <c r="J35" s="102"/>
      <c r="K35" s="103"/>
      <c r="L35" s="104"/>
      <c r="M35" s="105"/>
      <c r="N35" s="106"/>
    </row>
    <row r="36" spans="1:14" ht="25.5" x14ac:dyDescent="0.25">
      <c r="A36" s="95" t="s">
        <v>91</v>
      </c>
      <c r="B36" s="95" t="s">
        <v>63</v>
      </c>
      <c r="C36" s="96" t="s">
        <v>92</v>
      </c>
      <c r="D36" s="97" t="s">
        <v>93</v>
      </c>
      <c r="E36" s="98" t="s">
        <v>76</v>
      </c>
      <c r="F36" s="99"/>
      <c r="G36" s="99">
        <v>44.72</v>
      </c>
      <c r="H36" s="100">
        <f t="shared" si="0"/>
        <v>0</v>
      </c>
      <c r="I36" s="101">
        <v>-3.2</v>
      </c>
      <c r="J36" s="102">
        <f>G36</f>
        <v>44.72</v>
      </c>
      <c r="K36" s="103">
        <f>IF(ISBLANK(J36),"",(I36*J36))</f>
        <v>-143.10400000000001</v>
      </c>
      <c r="L36" s="104">
        <f>F36+I36</f>
        <v>-3.2</v>
      </c>
      <c r="M36" s="105">
        <f>G36</f>
        <v>44.72</v>
      </c>
      <c r="N36" s="106">
        <f>IF(ISBLANK(M36),"",(L36*M36))</f>
        <v>-143.10400000000001</v>
      </c>
    </row>
    <row r="37" spans="1:14" ht="33.75" x14ac:dyDescent="0.25">
      <c r="A37" s="107"/>
      <c r="B37" s="107"/>
      <c r="C37" s="107"/>
      <c r="D37" s="108" t="s">
        <v>94</v>
      </c>
      <c r="E37" s="107"/>
      <c r="F37" s="107"/>
      <c r="G37" s="110"/>
      <c r="H37" s="100" t="str">
        <f t="shared" si="0"/>
        <v/>
      </c>
      <c r="I37" s="101"/>
      <c r="J37" s="102"/>
      <c r="K37" s="103"/>
      <c r="L37" s="104"/>
      <c r="M37" s="105"/>
      <c r="N37" s="106"/>
    </row>
    <row r="38" spans="1:14" x14ac:dyDescent="0.25">
      <c r="A38" s="107"/>
      <c r="B38" s="107"/>
      <c r="C38" s="107"/>
      <c r="D38" s="109" t="s">
        <v>95</v>
      </c>
      <c r="E38" s="107"/>
      <c r="F38" s="107"/>
      <c r="G38" s="107"/>
      <c r="H38" s="100" t="str">
        <f t="shared" si="0"/>
        <v/>
      </c>
      <c r="I38" s="101"/>
      <c r="J38" s="102"/>
      <c r="K38" s="103"/>
      <c r="L38" s="104"/>
      <c r="M38" s="105"/>
      <c r="N38" s="106"/>
    </row>
    <row r="39" spans="1:14" ht="25.5" x14ac:dyDescent="0.25">
      <c r="A39" s="95">
        <v>22</v>
      </c>
      <c r="B39" s="95" t="s">
        <v>88</v>
      </c>
      <c r="C39" s="96">
        <v>167151103</v>
      </c>
      <c r="D39" s="97" t="s">
        <v>96</v>
      </c>
      <c r="E39" s="98" t="s">
        <v>76</v>
      </c>
      <c r="F39" s="99"/>
      <c r="G39" s="99">
        <v>231.79999999999998</v>
      </c>
      <c r="H39" s="100">
        <f t="shared" si="0"/>
        <v>0</v>
      </c>
      <c r="I39" s="101">
        <v>3.2</v>
      </c>
      <c r="J39" s="102">
        <f>G39</f>
        <v>231.79999999999998</v>
      </c>
      <c r="K39" s="103">
        <f>IF(ISBLANK(J39),"",(I39*J39))</f>
        <v>741.76</v>
      </c>
      <c r="L39" s="104">
        <f>F39+I39</f>
        <v>3.2</v>
      </c>
      <c r="M39" s="105">
        <f>G39</f>
        <v>231.79999999999998</v>
      </c>
      <c r="N39" s="106">
        <f>IF(ISBLANK(M39),"",(L39*M39))</f>
        <v>741.76</v>
      </c>
    </row>
    <row r="40" spans="1:14" x14ac:dyDescent="0.25">
      <c r="A40" s="107"/>
      <c r="B40" s="107"/>
      <c r="C40" s="107"/>
      <c r="D40" s="109" t="s">
        <v>90</v>
      </c>
      <c r="E40" s="107"/>
      <c r="F40" s="107"/>
      <c r="G40" s="107"/>
      <c r="H40" s="100" t="str">
        <f t="shared" si="0"/>
        <v/>
      </c>
      <c r="I40" s="101"/>
      <c r="J40" s="102"/>
      <c r="K40" s="103"/>
      <c r="L40" s="104"/>
      <c r="M40" s="105"/>
      <c r="N40" s="106"/>
    </row>
    <row r="41" spans="1:14" ht="25.5" x14ac:dyDescent="0.25">
      <c r="A41" s="95" t="s">
        <v>98</v>
      </c>
      <c r="B41" s="95" t="s">
        <v>88</v>
      </c>
      <c r="C41" s="96">
        <v>162351143</v>
      </c>
      <c r="D41" s="97" t="s">
        <v>99</v>
      </c>
      <c r="E41" s="98" t="s">
        <v>76</v>
      </c>
      <c r="F41" s="99"/>
      <c r="G41" s="99">
        <v>94.809999999999988</v>
      </c>
      <c r="H41" s="100">
        <f t="shared" si="0"/>
        <v>0</v>
      </c>
      <c r="I41" s="101">
        <v>57.174999999999997</v>
      </c>
      <c r="J41" s="102">
        <f>G41</f>
        <v>94.809999999999988</v>
      </c>
      <c r="K41" s="103">
        <f>IF(ISBLANK(J41),"",(I41*J41))</f>
        <v>5420.7617499999988</v>
      </c>
      <c r="L41" s="104">
        <f>F41+I41</f>
        <v>57.174999999999997</v>
      </c>
      <c r="M41" s="105">
        <f>G41</f>
        <v>94.809999999999988</v>
      </c>
      <c r="N41" s="106">
        <f>IF(ISBLANK(M41),"",(L41*M41))</f>
        <v>5420.7617499999988</v>
      </c>
    </row>
    <row r="42" spans="1:14" x14ac:dyDescent="0.25">
      <c r="A42" s="107"/>
      <c r="B42" s="107"/>
      <c r="C42" s="107"/>
      <c r="D42" s="109" t="s">
        <v>90</v>
      </c>
      <c r="E42" s="107"/>
      <c r="F42" s="107"/>
      <c r="G42" s="107"/>
      <c r="H42" s="100" t="str">
        <f t="shared" si="0"/>
        <v/>
      </c>
      <c r="I42" s="101"/>
      <c r="J42" s="102"/>
      <c r="K42" s="103"/>
      <c r="L42" s="104"/>
      <c r="M42" s="105"/>
      <c r="N42" s="106"/>
    </row>
    <row r="43" spans="1:14" ht="25.5" x14ac:dyDescent="0.25">
      <c r="A43" s="95" t="s">
        <v>100</v>
      </c>
      <c r="B43" s="95" t="s">
        <v>63</v>
      </c>
      <c r="C43" s="96" t="s">
        <v>101</v>
      </c>
      <c r="D43" s="97" t="s">
        <v>102</v>
      </c>
      <c r="E43" s="98" t="s">
        <v>66</v>
      </c>
      <c r="F43" s="99"/>
      <c r="G43" s="99">
        <v>247.39</v>
      </c>
      <c r="H43" s="100">
        <f t="shared" si="0"/>
        <v>0</v>
      </c>
      <c r="I43" s="101">
        <v>-3.2</v>
      </c>
      <c r="J43" s="102">
        <f>G43</f>
        <v>247.39</v>
      </c>
      <c r="K43" s="103">
        <f>IF(ISBLANK(J43),"",(I43*J43))</f>
        <v>-791.64800000000002</v>
      </c>
      <c r="L43" s="104">
        <f>F43+I43</f>
        <v>-3.2</v>
      </c>
      <c r="M43" s="105">
        <f>G43</f>
        <v>247.39</v>
      </c>
      <c r="N43" s="106">
        <f>IF(ISBLANK(M43),"",(L43*M43))</f>
        <v>-791.64800000000002</v>
      </c>
    </row>
    <row r="44" spans="1:14" ht="45" x14ac:dyDescent="0.25">
      <c r="A44" s="107"/>
      <c r="B44" s="107"/>
      <c r="C44" s="107"/>
      <c r="D44" s="108" t="s">
        <v>103</v>
      </c>
      <c r="E44" s="107"/>
      <c r="F44" s="107"/>
      <c r="G44" s="107"/>
      <c r="H44" s="100" t="str">
        <f t="shared" si="0"/>
        <v/>
      </c>
      <c r="I44" s="101"/>
      <c r="J44" s="102"/>
      <c r="K44" s="103"/>
      <c r="L44" s="104"/>
      <c r="M44" s="105"/>
      <c r="N44" s="106"/>
    </row>
    <row r="45" spans="1:14" x14ac:dyDescent="0.25">
      <c r="A45" s="107"/>
      <c r="B45" s="107"/>
      <c r="C45" s="107"/>
      <c r="D45" s="109" t="s">
        <v>95</v>
      </c>
      <c r="E45" s="107"/>
      <c r="F45" s="107"/>
      <c r="G45" s="107"/>
      <c r="H45" s="100" t="str">
        <f t="shared" si="0"/>
        <v/>
      </c>
      <c r="I45" s="101"/>
      <c r="J45" s="102"/>
      <c r="K45" s="103"/>
      <c r="L45" s="104"/>
      <c r="M45" s="105"/>
      <c r="N45" s="106"/>
    </row>
    <row r="46" spans="1:14" ht="25.5" x14ac:dyDescent="0.25">
      <c r="A46" s="95" t="s">
        <v>98</v>
      </c>
      <c r="B46" s="95" t="s">
        <v>88</v>
      </c>
      <c r="C46" s="96">
        <v>162751157</v>
      </c>
      <c r="D46" s="97" t="s">
        <v>104</v>
      </c>
      <c r="E46" s="98" t="s">
        <v>76</v>
      </c>
      <c r="F46" s="99"/>
      <c r="G46" s="99">
        <v>339.15</v>
      </c>
      <c r="H46" s="100">
        <f t="shared" si="0"/>
        <v>0</v>
      </c>
      <c r="I46" s="101">
        <v>3.2050000000000001</v>
      </c>
      <c r="J46" s="102">
        <f>G46</f>
        <v>339.15</v>
      </c>
      <c r="K46" s="103">
        <f>IF(ISBLANK(J46),"",(I46*J46))</f>
        <v>1086.9757500000001</v>
      </c>
      <c r="L46" s="104">
        <f>F46+I46</f>
        <v>3.2050000000000001</v>
      </c>
      <c r="M46" s="105">
        <f>G46</f>
        <v>339.15</v>
      </c>
      <c r="N46" s="106">
        <f>IF(ISBLANK(M46),"",(L46*M46))</f>
        <v>1086.9757500000001</v>
      </c>
    </row>
    <row r="47" spans="1:14" x14ac:dyDescent="0.25">
      <c r="A47" s="107"/>
      <c r="B47" s="107"/>
      <c r="C47" s="107"/>
      <c r="D47" s="109" t="s">
        <v>90</v>
      </c>
      <c r="E47" s="107"/>
      <c r="F47" s="107"/>
      <c r="G47" s="107"/>
      <c r="H47" s="100" t="str">
        <f t="shared" si="0"/>
        <v/>
      </c>
      <c r="I47" s="101"/>
      <c r="J47" s="102"/>
      <c r="K47" s="103"/>
      <c r="L47" s="104"/>
      <c r="M47" s="105"/>
      <c r="N47" s="106"/>
    </row>
    <row r="48" spans="1:14" x14ac:dyDescent="0.25">
      <c r="A48" s="111"/>
      <c r="B48" s="111"/>
      <c r="C48" s="111"/>
      <c r="D48" s="112"/>
      <c r="E48" s="111"/>
      <c r="F48" s="113"/>
      <c r="G48" s="99"/>
      <c r="H48" s="100"/>
      <c r="I48" s="101"/>
      <c r="J48" s="102"/>
      <c r="K48" s="103"/>
      <c r="L48" s="104"/>
      <c r="M48" s="105"/>
      <c r="N48" s="106"/>
    </row>
    <row r="49" spans="1:14" x14ac:dyDescent="0.25">
      <c r="A49" s="114"/>
      <c r="B49" s="114"/>
      <c r="C49" s="114"/>
      <c r="D49" s="114"/>
      <c r="E49" s="114"/>
      <c r="F49" s="115"/>
      <c r="G49" s="114"/>
      <c r="H49" s="116">
        <f>SUBTOTAL(9,H15:H47)</f>
        <v>0</v>
      </c>
      <c r="I49" s="117"/>
      <c r="J49" s="118"/>
      <c r="K49" s="103">
        <f>SUBTOTAL(9,K15:K47)</f>
        <v>302400.81926000002</v>
      </c>
      <c r="L49" s="115"/>
      <c r="M49" s="119"/>
      <c r="N49" s="120">
        <f>SUBTOTAL(9,N15:N47)</f>
        <v>302400.81926000002</v>
      </c>
    </row>
    <row r="53" spans="1:14" x14ac:dyDescent="0.25">
      <c r="B53" s="268" t="s">
        <v>370</v>
      </c>
      <c r="C53" s="268" t="s">
        <v>108</v>
      </c>
      <c r="D53" s="269"/>
      <c r="E53" s="269"/>
      <c r="F53" s="269"/>
      <c r="G53" s="68"/>
      <c r="H53" s="69"/>
      <c r="I53" s="70"/>
      <c r="J53" s="71"/>
      <c r="K53" s="72"/>
      <c r="L53" s="73"/>
      <c r="M53" s="73"/>
      <c r="N53" s="74"/>
    </row>
    <row r="54" spans="1:14" x14ac:dyDescent="0.25">
      <c r="B54" s="75"/>
      <c r="C54" s="75"/>
      <c r="D54" s="75"/>
      <c r="E54" s="75"/>
      <c r="F54" s="68"/>
      <c r="G54" s="68"/>
      <c r="H54" s="69"/>
      <c r="I54" s="70"/>
      <c r="J54" s="71"/>
      <c r="K54" s="72"/>
      <c r="L54" s="73"/>
      <c r="M54" s="73"/>
      <c r="N54" s="74"/>
    </row>
    <row r="55" spans="1:14" ht="15.75" x14ac:dyDescent="0.25">
      <c r="B55" s="76" t="s">
        <v>48</v>
      </c>
      <c r="C55" s="77" t="s">
        <v>28</v>
      </c>
      <c r="D55" s="75"/>
      <c r="E55" s="75"/>
      <c r="F55" s="265" t="s">
        <v>50</v>
      </c>
      <c r="G55" s="265"/>
      <c r="H55" s="265"/>
      <c r="I55" s="266" t="s">
        <v>51</v>
      </c>
      <c r="J55" s="266"/>
      <c r="K55" s="266"/>
      <c r="L55" s="267" t="s">
        <v>16</v>
      </c>
      <c r="M55" s="267"/>
      <c r="N55" s="267"/>
    </row>
    <row r="56" spans="1:14" ht="24" x14ac:dyDescent="0.25">
      <c r="B56" s="78" t="s">
        <v>52</v>
      </c>
      <c r="C56" s="79" t="s">
        <v>53</v>
      </c>
      <c r="D56" s="78" t="s">
        <v>53</v>
      </c>
      <c r="E56" s="79" t="s">
        <v>54</v>
      </c>
      <c r="F56" s="80" t="s">
        <v>55</v>
      </c>
      <c r="G56" s="81" t="s">
        <v>56</v>
      </c>
      <c r="H56" s="82" t="s">
        <v>57</v>
      </c>
      <c r="I56" s="83" t="s">
        <v>55</v>
      </c>
      <c r="J56" s="84" t="s">
        <v>58</v>
      </c>
      <c r="K56" s="85" t="s">
        <v>57</v>
      </c>
      <c r="L56" s="86" t="s">
        <v>55</v>
      </c>
      <c r="M56" s="87" t="s">
        <v>58</v>
      </c>
      <c r="N56" s="88" t="s">
        <v>59</v>
      </c>
    </row>
    <row r="57" spans="1:14" x14ac:dyDescent="0.25">
      <c r="B57" s="89" t="s">
        <v>60</v>
      </c>
      <c r="C57" s="90" t="s">
        <v>61</v>
      </c>
      <c r="D57" s="91"/>
      <c r="E57" s="91"/>
      <c r="F57" s="91"/>
      <c r="G57" s="92"/>
      <c r="H57" s="93"/>
      <c r="I57" s="94"/>
      <c r="J57" s="94"/>
      <c r="K57" s="94"/>
      <c r="L57" s="93"/>
      <c r="M57" s="93"/>
      <c r="N57" s="93"/>
    </row>
    <row r="58" spans="1:14" ht="25.5" x14ac:dyDescent="0.25">
      <c r="B58" s="95" t="s">
        <v>97</v>
      </c>
      <c r="C58" s="96" t="s">
        <v>109</v>
      </c>
      <c r="D58" s="97" t="s">
        <v>110</v>
      </c>
      <c r="E58" s="98" t="s">
        <v>76</v>
      </c>
      <c r="F58" s="99"/>
      <c r="G58" s="99">
        <v>257.77999999999997</v>
      </c>
      <c r="H58" s="100">
        <f>IF(ISBLANK(G58),"",(F58*G58))</f>
        <v>0</v>
      </c>
      <c r="I58" s="101">
        <v>-216.48008999999999</v>
      </c>
      <c r="J58" s="102">
        <f>G58</f>
        <v>257.77999999999997</v>
      </c>
      <c r="K58" s="103">
        <f>IF(ISBLANK(J58),"",(I58*J58))</f>
        <v>-55804.237600199995</v>
      </c>
      <c r="L58" s="104">
        <f>F58+I58</f>
        <v>-216.48008999999999</v>
      </c>
      <c r="M58" s="105">
        <f>G58</f>
        <v>257.77999999999997</v>
      </c>
      <c r="N58" s="106">
        <f>IF(ISBLANK(M58),"",(L58*M58))</f>
        <v>-55804.237600199995</v>
      </c>
    </row>
    <row r="59" spans="1:14" ht="22.5" x14ac:dyDescent="0.25">
      <c r="B59" s="95"/>
      <c r="C59" s="96"/>
      <c r="D59" s="109" t="s">
        <v>111</v>
      </c>
      <c r="E59" s="98"/>
      <c r="F59" s="99"/>
      <c r="G59" s="99"/>
      <c r="H59" s="100" t="str">
        <f>IF(ISBLANK(G59),"",(F59*G59))</f>
        <v/>
      </c>
      <c r="I59" s="101"/>
      <c r="J59" s="102"/>
      <c r="K59" s="103"/>
      <c r="L59" s="104"/>
      <c r="M59" s="105"/>
      <c r="N59" s="106"/>
    </row>
    <row r="60" spans="1:14" ht="38.25" x14ac:dyDescent="0.25">
      <c r="B60" s="95"/>
      <c r="C60" s="96"/>
      <c r="D60" s="97" t="s">
        <v>112</v>
      </c>
      <c r="E60" s="98" t="s">
        <v>76</v>
      </c>
      <c r="F60" s="99"/>
      <c r="G60" s="99">
        <v>1273</v>
      </c>
      <c r="H60" s="100">
        <f>IF(ISBLANK(G60),"",(F60*G60))</f>
        <v>0</v>
      </c>
      <c r="I60" s="101">
        <v>175.94808660000004</v>
      </c>
      <c r="J60" s="102">
        <f>G60</f>
        <v>1273</v>
      </c>
      <c r="K60" s="103">
        <v>223981.804</v>
      </c>
      <c r="L60" s="104">
        <f>F60+I60</f>
        <v>175.94808660000004</v>
      </c>
      <c r="M60" s="105">
        <f>G60</f>
        <v>1273</v>
      </c>
      <c r="N60" s="106">
        <f>IF(ISBLANK(M60),"",(L60*M60))</f>
        <v>223981.91424180006</v>
      </c>
    </row>
    <row r="61" spans="1:14" x14ac:dyDescent="0.25">
      <c r="B61" s="95"/>
      <c r="C61" s="96"/>
      <c r="D61" s="109" t="s">
        <v>113</v>
      </c>
      <c r="E61" s="98"/>
      <c r="F61" s="99"/>
      <c r="G61" s="99"/>
      <c r="H61" s="100"/>
      <c r="I61" s="101"/>
      <c r="J61" s="102"/>
      <c r="K61" s="103"/>
      <c r="L61" s="104"/>
      <c r="M61" s="105"/>
      <c r="N61" s="106"/>
    </row>
    <row r="62" spans="1:14" ht="25.5" x14ac:dyDescent="0.25">
      <c r="B62" s="95" t="s">
        <v>73</v>
      </c>
      <c r="C62" s="96" t="s">
        <v>74</v>
      </c>
      <c r="D62" s="97" t="s">
        <v>75</v>
      </c>
      <c r="E62" s="98" t="s">
        <v>76</v>
      </c>
      <c r="F62" s="99"/>
      <c r="G62" s="99">
        <v>615.52</v>
      </c>
      <c r="H62" s="100">
        <f>IF(ISBLANK(G62),"",(F62*G62))</f>
        <v>0</v>
      </c>
      <c r="I62" s="101">
        <v>-3.9487500000000004</v>
      </c>
      <c r="J62" s="102">
        <f>G62</f>
        <v>615.52</v>
      </c>
      <c r="K62" s="103">
        <v>-2430.69</v>
      </c>
      <c r="L62" s="104">
        <f>F62+I62</f>
        <v>-3.9487500000000004</v>
      </c>
      <c r="M62" s="105">
        <f>G62</f>
        <v>615.52</v>
      </c>
      <c r="N62" s="106">
        <f>IF(ISBLANK(M62),"",(L62*M62))</f>
        <v>-2430.5346000000004</v>
      </c>
    </row>
    <row r="63" spans="1:14" x14ac:dyDescent="0.25">
      <c r="B63" s="95"/>
      <c r="C63" s="96"/>
      <c r="D63" s="109" t="s">
        <v>77</v>
      </c>
      <c r="E63" s="98"/>
      <c r="F63" s="99"/>
      <c r="G63" s="99"/>
      <c r="H63" s="100" t="str">
        <f>IF(ISBLANK(G63),"",(F63*G63))</f>
        <v/>
      </c>
      <c r="I63" s="101"/>
      <c r="J63" s="102"/>
      <c r="K63" s="103"/>
      <c r="L63" s="104"/>
      <c r="M63" s="105"/>
      <c r="N63" s="106"/>
    </row>
    <row r="64" spans="1:14" x14ac:dyDescent="0.25">
      <c r="B64" s="95"/>
      <c r="C64" s="96"/>
      <c r="D64" s="109" t="s">
        <v>114</v>
      </c>
      <c r="E64" s="98"/>
      <c r="F64" s="99"/>
      <c r="G64" s="99"/>
      <c r="H64" s="100" t="str">
        <f>IF(ISBLANK(G64),"",(F64*G64))</f>
        <v/>
      </c>
      <c r="I64" s="101"/>
      <c r="J64" s="102"/>
      <c r="K64" s="103"/>
      <c r="L64" s="104"/>
      <c r="M64" s="105"/>
      <c r="N64" s="106"/>
    </row>
    <row r="65" spans="2:14" ht="38.25" x14ac:dyDescent="0.25">
      <c r="B65" s="95"/>
      <c r="C65" s="96">
        <v>132554203</v>
      </c>
      <c r="D65" s="97" t="s">
        <v>115</v>
      </c>
      <c r="E65" s="98" t="s">
        <v>76</v>
      </c>
      <c r="F65" s="99"/>
      <c r="G65" s="99">
        <v>1558</v>
      </c>
      <c r="H65" s="100">
        <f>IF(ISBLANK(G65),"",(F65*G65))</f>
        <v>0</v>
      </c>
      <c r="I65" s="101">
        <v>3.9487500000000004</v>
      </c>
      <c r="J65" s="102">
        <f>G65</f>
        <v>1558</v>
      </c>
      <c r="K65" s="103">
        <v>6152.54</v>
      </c>
      <c r="L65" s="104">
        <f>F65+I65</f>
        <v>3.9487500000000004</v>
      </c>
      <c r="M65" s="105">
        <f>G65</f>
        <v>1558</v>
      </c>
      <c r="N65" s="106">
        <f>IF(ISBLANK(M65),"",(L65*M65))</f>
        <v>6152.1525000000011</v>
      </c>
    </row>
    <row r="66" spans="2:14" ht="25.5" x14ac:dyDescent="0.25">
      <c r="B66" s="95" t="s">
        <v>79</v>
      </c>
      <c r="C66" s="96" t="s">
        <v>80</v>
      </c>
      <c r="D66" s="97" t="s">
        <v>116</v>
      </c>
      <c r="E66" s="98" t="s">
        <v>76</v>
      </c>
      <c r="F66" s="99"/>
      <c r="G66" s="99">
        <v>315.64999999999998</v>
      </c>
      <c r="H66" s="100">
        <f>IF(ISBLANK(G66),"",(F66*G66))</f>
        <v>0</v>
      </c>
      <c r="I66" s="101">
        <v>-29.358735120000006</v>
      </c>
      <c r="J66" s="102">
        <f>G66</f>
        <v>315.64999999999998</v>
      </c>
      <c r="K66" s="103">
        <v>-9267.17</v>
      </c>
      <c r="L66" s="104">
        <f>F66+I66</f>
        <v>-29.358735120000006</v>
      </c>
      <c r="M66" s="105">
        <f>G66</f>
        <v>315.64999999999998</v>
      </c>
      <c r="N66" s="106">
        <f>IF(ISBLANK(M66),"",(L66*M66))</f>
        <v>-9267.0847406280009</v>
      </c>
    </row>
    <row r="67" spans="2:14" x14ac:dyDescent="0.25">
      <c r="B67" s="95"/>
      <c r="C67" s="96"/>
      <c r="D67" s="109" t="s">
        <v>114</v>
      </c>
      <c r="E67" s="98"/>
      <c r="F67" s="99"/>
      <c r="G67" s="99"/>
      <c r="H67" s="100"/>
      <c r="I67" s="101"/>
      <c r="J67" s="102"/>
      <c r="K67" s="103"/>
      <c r="L67" s="104"/>
      <c r="M67" s="105"/>
      <c r="N67" s="106"/>
    </row>
    <row r="68" spans="2:14" ht="22.5" x14ac:dyDescent="0.25">
      <c r="B68" s="95"/>
      <c r="C68" s="96"/>
      <c r="D68" s="109" t="s">
        <v>67</v>
      </c>
      <c r="E68" s="98"/>
      <c r="F68" s="99"/>
      <c r="G68" s="99"/>
      <c r="H68" s="100" t="str">
        <f>IF(ISBLANK(G68),"",(F68*G68))</f>
        <v/>
      </c>
      <c r="I68" s="101"/>
      <c r="J68" s="102"/>
      <c r="K68" s="103"/>
      <c r="L68" s="104"/>
      <c r="M68" s="105"/>
      <c r="N68" s="106"/>
    </row>
    <row r="69" spans="2:14" ht="38.25" x14ac:dyDescent="0.25">
      <c r="B69" s="95"/>
      <c r="C69" s="96">
        <v>132554203</v>
      </c>
      <c r="D69" s="97" t="s">
        <v>115</v>
      </c>
      <c r="E69" s="98" t="s">
        <v>76</v>
      </c>
      <c r="F69" s="99"/>
      <c r="G69" s="99">
        <v>1558</v>
      </c>
      <c r="H69" s="100">
        <f>IF(ISBLANK(G69),"",(F69*G69))</f>
        <v>0</v>
      </c>
      <c r="I69" s="101">
        <v>23.864223240000005</v>
      </c>
      <c r="J69" s="102">
        <f>G69</f>
        <v>1558</v>
      </c>
      <c r="K69" s="103">
        <v>37180.11</v>
      </c>
      <c r="L69" s="104">
        <f>F69+I69</f>
        <v>23.864223240000005</v>
      </c>
      <c r="M69" s="105">
        <f>G69</f>
        <v>1558</v>
      </c>
      <c r="N69" s="106">
        <f>IF(ISBLANK(M69),"",(L69*M69))</f>
        <v>37180.459807920008</v>
      </c>
    </row>
    <row r="70" spans="2:14" x14ac:dyDescent="0.25">
      <c r="B70" s="111"/>
      <c r="C70" s="111"/>
      <c r="D70" s="112"/>
      <c r="E70" s="111"/>
      <c r="F70" s="113"/>
      <c r="G70" s="99"/>
      <c r="H70" s="100"/>
      <c r="I70" s="101"/>
      <c r="J70" s="102"/>
      <c r="K70" s="103"/>
      <c r="L70" s="104"/>
      <c r="M70" s="105"/>
      <c r="N70" s="106"/>
    </row>
    <row r="71" spans="2:14" x14ac:dyDescent="0.25">
      <c r="B71" s="114"/>
      <c r="C71" s="114"/>
      <c r="D71" s="114"/>
      <c r="E71" s="114"/>
      <c r="F71" s="115"/>
      <c r="G71" s="114"/>
      <c r="H71" s="116">
        <f>SUBTOTAL(9,H57:H69)</f>
        <v>0</v>
      </c>
      <c r="I71" s="117"/>
      <c r="J71" s="118"/>
      <c r="K71" s="103">
        <f>SUBTOTAL(9,K57:K69)</f>
        <v>199812.35639979999</v>
      </c>
      <c r="L71" s="115"/>
      <c r="M71" s="119"/>
      <c r="N71" s="154">
        <f>SUBTOTAL(9,N58:N69)</f>
        <v>199812.66960889206</v>
      </c>
    </row>
    <row r="72" spans="2:14" ht="15.75" x14ac:dyDescent="0.25">
      <c r="B72" s="121"/>
      <c r="C72" s="122"/>
      <c r="D72" s="123"/>
      <c r="E72" s="121"/>
      <c r="F72" s="124"/>
      <c r="G72" s="125"/>
      <c r="H72" s="126"/>
      <c r="I72" s="127"/>
      <c r="J72" s="128"/>
      <c r="K72" s="129"/>
      <c r="L72" s="130"/>
      <c r="M72" s="130"/>
      <c r="N72" s="131"/>
    </row>
    <row r="73" spans="2:14" ht="15.75" x14ac:dyDescent="0.25">
      <c r="B73" s="121"/>
      <c r="C73" s="142"/>
      <c r="D73" s="143"/>
      <c r="E73" s="144"/>
      <c r="F73" s="145"/>
      <c r="G73" s="125"/>
      <c r="H73" s="146"/>
      <c r="I73" s="147"/>
      <c r="J73" s="148"/>
      <c r="K73" s="149"/>
      <c r="L73" s="150"/>
      <c r="M73" s="150"/>
      <c r="N73" s="151"/>
    </row>
    <row r="76" spans="2:14" ht="18" x14ac:dyDescent="0.25">
      <c r="C76" s="183"/>
    </row>
    <row r="77" spans="2:14" x14ac:dyDescent="0.25">
      <c r="B77" s="268" t="s">
        <v>371</v>
      </c>
      <c r="C77" s="268" t="s">
        <v>108</v>
      </c>
      <c r="D77" s="269"/>
      <c r="E77" s="269"/>
      <c r="F77" s="269"/>
      <c r="G77" s="155"/>
      <c r="H77" s="69"/>
      <c r="I77" s="70"/>
      <c r="J77" s="71"/>
      <c r="K77" s="156"/>
      <c r="L77" s="157"/>
      <c r="M77" s="157"/>
      <c r="N77" s="158"/>
    </row>
    <row r="78" spans="2:14" x14ac:dyDescent="0.25">
      <c r="B78" s="41"/>
      <c r="C78" s="75"/>
      <c r="D78" s="75"/>
      <c r="E78" s="75"/>
      <c r="F78" s="68"/>
      <c r="G78" s="155"/>
      <c r="H78" s="69"/>
      <c r="I78" s="70"/>
      <c r="J78" s="71"/>
      <c r="K78" s="156"/>
      <c r="L78" s="157"/>
      <c r="M78" s="157"/>
      <c r="N78" s="158"/>
    </row>
    <row r="79" spans="2:14" ht="15.75" x14ac:dyDescent="0.25">
      <c r="B79" s="76" t="s">
        <v>48</v>
      </c>
      <c r="C79" s="77" t="s">
        <v>29</v>
      </c>
      <c r="D79" s="75"/>
      <c r="E79" s="75"/>
      <c r="F79" s="265" t="s">
        <v>50</v>
      </c>
      <c r="G79" s="265"/>
      <c r="H79" s="265"/>
      <c r="I79" s="266" t="s">
        <v>51</v>
      </c>
      <c r="J79" s="266"/>
      <c r="K79" s="266"/>
      <c r="L79" s="267" t="s">
        <v>16</v>
      </c>
      <c r="M79" s="267"/>
      <c r="N79" s="267"/>
    </row>
    <row r="80" spans="2:14" ht="24" x14ac:dyDescent="0.25">
      <c r="B80" s="78" t="s">
        <v>52</v>
      </c>
      <c r="C80" s="79" t="s">
        <v>53</v>
      </c>
      <c r="D80" s="78" t="s">
        <v>53</v>
      </c>
      <c r="E80" s="79" t="s">
        <v>54</v>
      </c>
      <c r="F80" s="80" t="s">
        <v>55</v>
      </c>
      <c r="G80" s="81" t="s">
        <v>56</v>
      </c>
      <c r="H80" s="82" t="s">
        <v>57</v>
      </c>
      <c r="I80" s="83" t="s">
        <v>55</v>
      </c>
      <c r="J80" s="84" t="s">
        <v>58</v>
      </c>
      <c r="K80" s="85" t="s">
        <v>57</v>
      </c>
      <c r="L80" s="86" t="s">
        <v>55</v>
      </c>
      <c r="M80" s="87" t="s">
        <v>58</v>
      </c>
      <c r="N80" s="88" t="s">
        <v>59</v>
      </c>
    </row>
    <row r="81" spans="2:14" x14ac:dyDescent="0.25">
      <c r="B81" s="89" t="s">
        <v>60</v>
      </c>
      <c r="C81" s="90" t="s">
        <v>61</v>
      </c>
      <c r="D81" s="91"/>
      <c r="E81" s="91"/>
      <c r="F81" s="91"/>
      <c r="G81" s="92"/>
      <c r="H81" s="93"/>
      <c r="I81" s="94"/>
      <c r="J81" s="94"/>
      <c r="K81" s="94"/>
      <c r="L81" s="93"/>
      <c r="M81" s="93"/>
      <c r="N81" s="93"/>
    </row>
    <row r="82" spans="2:14" ht="25.5" x14ac:dyDescent="0.25">
      <c r="B82" s="95" t="s">
        <v>97</v>
      </c>
      <c r="C82" s="96" t="s">
        <v>109</v>
      </c>
      <c r="D82" s="97" t="s">
        <v>110</v>
      </c>
      <c r="E82" s="98" t="s">
        <v>76</v>
      </c>
      <c r="F82" s="99"/>
      <c r="G82" s="99">
        <v>257.77999999999997</v>
      </c>
      <c r="H82" s="100">
        <f t="shared" ref="H82:H87" si="1">IF(ISBLANK(G82),"",(F82*G82))</f>
        <v>0</v>
      </c>
      <c r="I82" s="101">
        <v>-43.5</v>
      </c>
      <c r="J82" s="102">
        <f>G82</f>
        <v>257.77999999999997</v>
      </c>
      <c r="K82" s="103">
        <f>IF(ISBLANK(J82),"",(I82*J82))</f>
        <v>-11213.429999999998</v>
      </c>
      <c r="L82" s="104">
        <f>F82+I82</f>
        <v>-43.5</v>
      </c>
      <c r="M82" s="105">
        <f>G82</f>
        <v>257.77999999999997</v>
      </c>
      <c r="N82" s="106">
        <f>IF(ISBLANK(M82),"",(L82*M82))</f>
        <v>-11213.429999999998</v>
      </c>
    </row>
    <row r="83" spans="2:14" x14ac:dyDescent="0.25">
      <c r="B83" s="95"/>
      <c r="C83" s="96"/>
      <c r="D83" s="97"/>
      <c r="E83" s="98"/>
      <c r="F83" s="99"/>
      <c r="G83" s="99"/>
      <c r="H83" s="100" t="str">
        <f t="shared" si="1"/>
        <v/>
      </c>
      <c r="I83" s="101"/>
      <c r="J83" s="102"/>
      <c r="K83" s="103"/>
      <c r="L83" s="104"/>
      <c r="M83" s="105"/>
      <c r="N83" s="106"/>
    </row>
    <row r="84" spans="2:14" ht="38.25" x14ac:dyDescent="0.25">
      <c r="B84" s="95" t="s">
        <v>69</v>
      </c>
      <c r="C84" s="96" t="s">
        <v>70</v>
      </c>
      <c r="D84" s="97" t="s">
        <v>71</v>
      </c>
      <c r="E84" s="98" t="s">
        <v>66</v>
      </c>
      <c r="F84" s="99"/>
      <c r="G84" s="99">
        <v>1116.6199999999999</v>
      </c>
      <c r="H84" s="100">
        <f t="shared" si="1"/>
        <v>0</v>
      </c>
      <c r="I84" s="101">
        <v>43.5</v>
      </c>
      <c r="J84" s="102">
        <f>G84</f>
        <v>1116.6199999999999</v>
      </c>
      <c r="K84" s="103">
        <f>IF(ISBLANK(J84),"",(I84*J84))</f>
        <v>48572.969999999994</v>
      </c>
      <c r="L84" s="104">
        <f>F84+I84</f>
        <v>43.5</v>
      </c>
      <c r="M84" s="105">
        <f>G84</f>
        <v>1116.6199999999999</v>
      </c>
      <c r="N84" s="106">
        <f>IF(ISBLANK(M84),"",(L84*M84))</f>
        <v>48572.969999999994</v>
      </c>
    </row>
    <row r="85" spans="2:14" ht="25.5" x14ac:dyDescent="0.25">
      <c r="B85" s="95" t="s">
        <v>79</v>
      </c>
      <c r="C85" s="96" t="s">
        <v>80</v>
      </c>
      <c r="D85" s="97" t="s">
        <v>81</v>
      </c>
      <c r="E85" s="98" t="s">
        <v>76</v>
      </c>
      <c r="F85" s="99"/>
      <c r="G85" s="99">
        <v>315.64999999999998</v>
      </c>
      <c r="H85" s="100">
        <f t="shared" si="1"/>
        <v>0</v>
      </c>
      <c r="I85" s="101">
        <v>-6.5</v>
      </c>
      <c r="J85" s="102">
        <f>G85</f>
        <v>315.64999999999998</v>
      </c>
      <c r="K85" s="103">
        <f>IF(ISBLANK(J85),"",(I85*J85))</f>
        <v>-2051.7249999999999</v>
      </c>
      <c r="L85" s="104">
        <f>F85+I85</f>
        <v>-6.5</v>
      </c>
      <c r="M85" s="105">
        <f>G85</f>
        <v>315.64999999999998</v>
      </c>
      <c r="N85" s="106">
        <f>IF(ISBLANK(M85),"",(L85*M85))</f>
        <v>-2051.7249999999999</v>
      </c>
    </row>
    <row r="86" spans="2:14" x14ac:dyDescent="0.25">
      <c r="B86" s="95"/>
      <c r="C86" s="96"/>
      <c r="D86" s="97"/>
      <c r="E86" s="98"/>
      <c r="F86" s="99"/>
      <c r="G86" s="99"/>
      <c r="H86" s="100" t="str">
        <f t="shared" si="1"/>
        <v/>
      </c>
      <c r="I86" s="101"/>
      <c r="J86" s="102"/>
      <c r="K86" s="103"/>
      <c r="L86" s="104"/>
      <c r="M86" s="105"/>
      <c r="N86" s="106"/>
    </row>
    <row r="87" spans="2:14" ht="38.25" x14ac:dyDescent="0.25">
      <c r="B87" s="95" t="s">
        <v>69</v>
      </c>
      <c r="C87" s="96" t="s">
        <v>70</v>
      </c>
      <c r="D87" s="97" t="s">
        <v>71</v>
      </c>
      <c r="E87" s="98" t="s">
        <v>66</v>
      </c>
      <c r="F87" s="99"/>
      <c r="G87" s="99">
        <v>1116.6199999999999</v>
      </c>
      <c r="H87" s="100">
        <f t="shared" si="1"/>
        <v>0</v>
      </c>
      <c r="I87" s="101">
        <v>6.5</v>
      </c>
      <c r="J87" s="102">
        <f>G87</f>
        <v>1116.6199999999999</v>
      </c>
      <c r="K87" s="103">
        <f>IF(ISBLANK(J87),"",(I87*J87))</f>
        <v>7258.0299999999988</v>
      </c>
      <c r="L87" s="104">
        <f>F87+I87</f>
        <v>6.5</v>
      </c>
      <c r="M87" s="105">
        <f>G87</f>
        <v>1116.6199999999999</v>
      </c>
      <c r="N87" s="106">
        <f>IF(ISBLANK(M87),"",(L87*M87))</f>
        <v>7258.0299999999988</v>
      </c>
    </row>
    <row r="88" spans="2:14" x14ac:dyDescent="0.25">
      <c r="B88" s="95"/>
      <c r="C88" s="96"/>
      <c r="D88" s="97"/>
      <c r="E88" s="98"/>
      <c r="F88" s="99"/>
      <c r="G88" s="99"/>
      <c r="H88" s="100"/>
      <c r="I88" s="101"/>
      <c r="J88" s="102"/>
      <c r="K88" s="103"/>
      <c r="L88" s="104"/>
      <c r="M88" s="105"/>
      <c r="N88" s="106"/>
    </row>
    <row r="89" spans="2:14" x14ac:dyDescent="0.25">
      <c r="B89" s="111"/>
      <c r="C89" s="111"/>
      <c r="D89" s="112"/>
      <c r="E89" s="111"/>
      <c r="F89" s="113"/>
      <c r="G89" s="99"/>
      <c r="H89" s="100"/>
      <c r="I89" s="101"/>
      <c r="J89" s="102"/>
      <c r="K89" s="103"/>
      <c r="L89" s="104"/>
      <c r="M89" s="105"/>
      <c r="N89" s="106"/>
    </row>
    <row r="90" spans="2:14" x14ac:dyDescent="0.25">
      <c r="B90" s="114"/>
      <c r="C90" s="114"/>
      <c r="D90" s="114"/>
      <c r="E90" s="114"/>
      <c r="F90" s="115"/>
      <c r="G90" s="114"/>
      <c r="H90" s="116">
        <f>SUBTOTAL(9,H81:H88)</f>
        <v>0</v>
      </c>
      <c r="I90" s="159"/>
      <c r="J90" s="160"/>
      <c r="K90" s="103">
        <f>SUBTOTAL(9,K81:K88)</f>
        <v>42565.844999999994</v>
      </c>
      <c r="L90" s="161"/>
      <c r="M90" s="162"/>
      <c r="N90" s="154">
        <f>SUBTOTAL(9,N82:N88)</f>
        <v>42565.844999999994</v>
      </c>
    </row>
    <row r="92" spans="2:14" x14ac:dyDescent="0.25">
      <c r="B92" s="268" t="s">
        <v>372</v>
      </c>
      <c r="C92" s="268" t="s">
        <v>108</v>
      </c>
      <c r="D92" s="269"/>
      <c r="E92" s="269"/>
      <c r="F92" s="269"/>
      <c r="G92" s="155"/>
      <c r="H92" s="69"/>
      <c r="I92" s="70"/>
      <c r="J92" s="71"/>
      <c r="K92" s="156"/>
      <c r="L92" s="157"/>
      <c r="M92" s="157"/>
      <c r="N92" s="158"/>
    </row>
    <row r="93" spans="2:14" x14ac:dyDescent="0.25">
      <c r="B93" s="41"/>
      <c r="C93" s="75"/>
      <c r="D93" s="75"/>
      <c r="E93" s="75"/>
      <c r="F93" s="68"/>
      <c r="G93" s="155"/>
      <c r="H93" s="69"/>
      <c r="I93" s="70"/>
      <c r="J93" s="71"/>
      <c r="K93" s="156"/>
      <c r="L93" s="157"/>
      <c r="M93" s="157"/>
      <c r="N93" s="158"/>
    </row>
    <row r="94" spans="2:14" ht="15.75" x14ac:dyDescent="0.25">
      <c r="B94" s="76" t="s">
        <v>48</v>
      </c>
      <c r="C94" s="77" t="s">
        <v>117</v>
      </c>
      <c r="D94" s="75"/>
      <c r="E94" s="75"/>
      <c r="F94" s="265" t="s">
        <v>50</v>
      </c>
      <c r="G94" s="265"/>
      <c r="H94" s="265"/>
      <c r="I94" s="266" t="s">
        <v>51</v>
      </c>
      <c r="J94" s="266"/>
      <c r="K94" s="266"/>
      <c r="L94" s="267" t="s">
        <v>16</v>
      </c>
      <c r="M94" s="267"/>
      <c r="N94" s="267"/>
    </row>
    <row r="95" spans="2:14" ht="24" x14ac:dyDescent="0.25">
      <c r="B95" s="78" t="s">
        <v>52</v>
      </c>
      <c r="C95" s="78" t="s">
        <v>366</v>
      </c>
      <c r="D95" s="78" t="s">
        <v>53</v>
      </c>
      <c r="E95" s="79" t="s">
        <v>54</v>
      </c>
      <c r="F95" s="80" t="s">
        <v>55</v>
      </c>
      <c r="G95" s="81" t="s">
        <v>56</v>
      </c>
      <c r="H95" s="82" t="s">
        <v>57</v>
      </c>
      <c r="I95" s="83" t="s">
        <v>55</v>
      </c>
      <c r="J95" s="84" t="s">
        <v>58</v>
      </c>
      <c r="K95" s="85" t="s">
        <v>57</v>
      </c>
      <c r="L95" s="86" t="s">
        <v>55</v>
      </c>
      <c r="M95" s="87" t="s">
        <v>58</v>
      </c>
      <c r="N95" s="88" t="s">
        <v>59</v>
      </c>
    </row>
    <row r="96" spans="2:14" x14ac:dyDescent="0.25">
      <c r="B96" s="89" t="s">
        <v>60</v>
      </c>
      <c r="C96" s="90" t="s">
        <v>61</v>
      </c>
      <c r="D96" s="91"/>
      <c r="E96" s="91"/>
      <c r="F96" s="91"/>
      <c r="G96" s="92"/>
      <c r="H96" s="93"/>
      <c r="I96" s="94"/>
      <c r="J96" s="94"/>
      <c r="K96" s="94"/>
      <c r="L96" s="93"/>
      <c r="M96" s="93"/>
      <c r="N96" s="93"/>
    </row>
    <row r="97" spans="2:14" ht="25.5" x14ac:dyDescent="0.25">
      <c r="B97" s="95" t="s">
        <v>97</v>
      </c>
      <c r="C97" s="96" t="s">
        <v>109</v>
      </c>
      <c r="D97" s="97" t="s">
        <v>110</v>
      </c>
      <c r="E97" s="98" t="s">
        <v>76</v>
      </c>
      <c r="F97" s="99"/>
      <c r="G97" s="99">
        <v>257.77999999999997</v>
      </c>
      <c r="H97" s="100">
        <f t="shared" ref="H97:H102" si="2">IF(ISBLANK(G97),"",(F97*G97))</f>
        <v>0</v>
      </c>
      <c r="I97" s="101">
        <v>-21.8</v>
      </c>
      <c r="J97" s="102">
        <f>G97</f>
        <v>257.77999999999997</v>
      </c>
      <c r="K97" s="103">
        <f>IF(ISBLANK(J97),"",(I97*J97))</f>
        <v>-5619.6039999999994</v>
      </c>
      <c r="L97" s="104">
        <f>F97+I97</f>
        <v>-21.8</v>
      </c>
      <c r="M97" s="105">
        <f>G97</f>
        <v>257.77999999999997</v>
      </c>
      <c r="N97" s="106">
        <f>IF(ISBLANK(M97),"",(L97*M97))</f>
        <v>-5619.6039999999994</v>
      </c>
    </row>
    <row r="98" spans="2:14" ht="22.5" x14ac:dyDescent="0.25">
      <c r="B98" s="95"/>
      <c r="C98" s="96"/>
      <c r="D98" s="109" t="s">
        <v>118</v>
      </c>
      <c r="E98" s="98"/>
      <c r="F98" s="99"/>
      <c r="G98" s="99"/>
      <c r="H98" s="100" t="str">
        <f t="shared" si="2"/>
        <v/>
      </c>
      <c r="I98" s="101"/>
      <c r="J98" s="102"/>
      <c r="K98" s="103"/>
      <c r="L98" s="104"/>
      <c r="M98" s="105"/>
      <c r="N98" s="106"/>
    </row>
    <row r="99" spans="2:14" ht="38.25" x14ac:dyDescent="0.25">
      <c r="B99" s="95" t="s">
        <v>69</v>
      </c>
      <c r="C99" s="96" t="s">
        <v>70</v>
      </c>
      <c r="D99" s="97" t="s">
        <v>71</v>
      </c>
      <c r="E99" s="98" t="s">
        <v>66</v>
      </c>
      <c r="F99" s="99"/>
      <c r="G99" s="99">
        <v>1116.6199999999999</v>
      </c>
      <c r="H99" s="100">
        <f t="shared" si="2"/>
        <v>0</v>
      </c>
      <c r="I99" s="101">
        <v>21.8</v>
      </c>
      <c r="J99" s="102">
        <f>G99</f>
        <v>1116.6199999999999</v>
      </c>
      <c r="K99" s="103">
        <f>IF(ISBLANK(J99),"",(I99*J99))</f>
        <v>24342.315999999999</v>
      </c>
      <c r="L99" s="104">
        <f>F99+I99</f>
        <v>21.8</v>
      </c>
      <c r="M99" s="105">
        <f>G99</f>
        <v>1116.6199999999999</v>
      </c>
      <c r="N99" s="106">
        <f>IF(ISBLANK(M99),"",(L99*M99))</f>
        <v>24342.315999999999</v>
      </c>
    </row>
    <row r="100" spans="2:14" ht="25.5" x14ac:dyDescent="0.25">
      <c r="B100" s="95">
        <v>1</v>
      </c>
      <c r="C100" s="96" t="s">
        <v>109</v>
      </c>
      <c r="D100" s="97" t="s">
        <v>110</v>
      </c>
      <c r="E100" s="98" t="s">
        <v>76</v>
      </c>
      <c r="F100" s="99"/>
      <c r="G100" s="99">
        <v>257.77999999999997</v>
      </c>
      <c r="H100" s="100">
        <f t="shared" si="2"/>
        <v>0</v>
      </c>
      <c r="I100" s="101">
        <v>-3.3</v>
      </c>
      <c r="J100" s="102">
        <f>G100</f>
        <v>257.77999999999997</v>
      </c>
      <c r="K100" s="103">
        <f>IF(ISBLANK(J100),"",(I100*J100))</f>
        <v>-850.67399999999986</v>
      </c>
      <c r="L100" s="104">
        <f>F100+I100</f>
        <v>-3.3</v>
      </c>
      <c r="M100" s="105">
        <f>G100</f>
        <v>257.77999999999997</v>
      </c>
      <c r="N100" s="106">
        <f>IF(ISBLANK(M100),"",(L100*M100))</f>
        <v>-850.67399999999986</v>
      </c>
    </row>
    <row r="101" spans="2:14" ht="22.5" x14ac:dyDescent="0.25">
      <c r="B101" s="95"/>
      <c r="C101" s="96"/>
      <c r="D101" s="109" t="s">
        <v>67</v>
      </c>
      <c r="E101" s="98"/>
      <c r="F101" s="99"/>
      <c r="G101" s="99"/>
      <c r="H101" s="100" t="str">
        <f t="shared" si="2"/>
        <v/>
      </c>
      <c r="I101" s="101"/>
      <c r="J101" s="102"/>
      <c r="K101" s="103"/>
      <c r="L101" s="104"/>
      <c r="M101" s="105"/>
      <c r="N101" s="106"/>
    </row>
    <row r="102" spans="2:14" ht="38.25" x14ac:dyDescent="0.25">
      <c r="B102" s="95" t="s">
        <v>69</v>
      </c>
      <c r="C102" s="96" t="s">
        <v>70</v>
      </c>
      <c r="D102" s="97" t="s">
        <v>71</v>
      </c>
      <c r="E102" s="98" t="s">
        <v>66</v>
      </c>
      <c r="F102" s="99"/>
      <c r="G102" s="99">
        <v>1116.6199999999999</v>
      </c>
      <c r="H102" s="100">
        <f t="shared" si="2"/>
        <v>0</v>
      </c>
      <c r="I102" s="101">
        <v>3.3</v>
      </c>
      <c r="J102" s="102">
        <f>G102</f>
        <v>1116.6199999999999</v>
      </c>
      <c r="K102" s="103">
        <f>IF(ISBLANK(J102),"",(I102*J102))</f>
        <v>3684.8459999999995</v>
      </c>
      <c r="L102" s="104">
        <f>F102+I102</f>
        <v>3.3</v>
      </c>
      <c r="M102" s="105">
        <f>G102</f>
        <v>1116.6199999999999</v>
      </c>
      <c r="N102" s="106">
        <f>IF(ISBLANK(M102),"",(L102*M102))</f>
        <v>3684.8459999999995</v>
      </c>
    </row>
    <row r="103" spans="2:14" x14ac:dyDescent="0.25">
      <c r="B103" s="111"/>
      <c r="C103" s="111"/>
      <c r="D103" s="112"/>
      <c r="E103" s="111"/>
      <c r="F103" s="113"/>
      <c r="G103" s="99"/>
      <c r="H103" s="100"/>
      <c r="I103" s="101"/>
      <c r="J103" s="102"/>
      <c r="K103" s="103"/>
      <c r="L103" s="104"/>
      <c r="M103" s="105"/>
      <c r="N103" s="106"/>
    </row>
    <row r="104" spans="2:14" x14ac:dyDescent="0.25">
      <c r="B104" s="114"/>
      <c r="C104" s="114"/>
      <c r="D104" s="114"/>
      <c r="E104" s="114"/>
      <c r="F104" s="115"/>
      <c r="G104" s="114"/>
      <c r="H104" s="116">
        <f>SUBTOTAL(9,H96:H102)</f>
        <v>0</v>
      </c>
      <c r="I104" s="159"/>
      <c r="J104" s="160"/>
      <c r="K104" s="103">
        <f>SUBTOTAL(9,K96:K102)</f>
        <v>21556.883999999998</v>
      </c>
      <c r="L104" s="161"/>
      <c r="M104" s="162"/>
      <c r="N104" s="154">
        <f>SUBTOTAL(9,N97:N102)</f>
        <v>21556.883999999998</v>
      </c>
    </row>
    <row r="107" spans="2:14" x14ac:dyDescent="0.25">
      <c r="B107" s="253" t="s">
        <v>36</v>
      </c>
    </row>
    <row r="108" spans="2:14" ht="15.75" x14ac:dyDescent="0.25">
      <c r="B108" s="192"/>
      <c r="C108" s="77"/>
      <c r="D108" s="75"/>
      <c r="E108" s="75"/>
      <c r="F108" s="265" t="s">
        <v>50</v>
      </c>
      <c r="G108" s="265"/>
      <c r="H108" s="265"/>
      <c r="I108" s="266" t="s">
        <v>51</v>
      </c>
      <c r="J108" s="266"/>
      <c r="K108" s="266"/>
      <c r="L108" s="267" t="s">
        <v>16</v>
      </c>
      <c r="M108" s="267"/>
      <c r="N108" s="267"/>
    </row>
    <row r="109" spans="2:14" ht="24" x14ac:dyDescent="0.25">
      <c r="B109" s="78" t="s">
        <v>52</v>
      </c>
      <c r="C109" s="78" t="s">
        <v>366</v>
      </c>
      <c r="D109" s="78" t="s">
        <v>53</v>
      </c>
      <c r="E109" s="79" t="s">
        <v>54</v>
      </c>
      <c r="F109" s="80" t="s">
        <v>55</v>
      </c>
      <c r="G109" s="81" t="s">
        <v>56</v>
      </c>
      <c r="H109" s="82" t="s">
        <v>57</v>
      </c>
      <c r="I109" s="83" t="s">
        <v>55</v>
      </c>
      <c r="J109" s="84" t="s">
        <v>58</v>
      </c>
      <c r="K109" s="85" t="s">
        <v>57</v>
      </c>
      <c r="L109" s="86" t="s">
        <v>55</v>
      </c>
      <c r="M109" s="87" t="s">
        <v>58</v>
      </c>
      <c r="N109" s="88" t="s">
        <v>59</v>
      </c>
    </row>
    <row r="110" spans="2:14" x14ac:dyDescent="0.25">
      <c r="B110" s="89"/>
      <c r="C110" s="90"/>
      <c r="D110" s="91"/>
      <c r="E110" s="91"/>
      <c r="F110" s="91"/>
      <c r="G110" s="92"/>
      <c r="H110" s="93"/>
      <c r="I110" s="94"/>
      <c r="J110" s="94"/>
      <c r="K110" s="94"/>
      <c r="L110" s="93"/>
      <c r="M110" s="93"/>
      <c r="N110" s="93"/>
    </row>
    <row r="111" spans="2:14" x14ac:dyDescent="0.25">
      <c r="B111" s="195" t="s">
        <v>88</v>
      </c>
      <c r="C111" s="196" t="s">
        <v>119</v>
      </c>
      <c r="D111" s="197" t="s">
        <v>158</v>
      </c>
      <c r="E111" s="198"/>
      <c r="F111" s="188"/>
      <c r="G111" s="188"/>
      <c r="H111" s="188"/>
      <c r="I111" s="188"/>
      <c r="J111" s="188"/>
      <c r="K111" s="222"/>
      <c r="L111" s="188"/>
      <c r="M111" s="188"/>
      <c r="N111" s="188"/>
    </row>
    <row r="112" spans="2:14" ht="30" x14ac:dyDescent="0.25">
      <c r="B112" s="184" t="s">
        <v>88</v>
      </c>
      <c r="C112" s="185" t="s">
        <v>64</v>
      </c>
      <c r="D112" s="190" t="s">
        <v>65</v>
      </c>
      <c r="E112" s="187" t="s">
        <v>76</v>
      </c>
      <c r="F112" s="188"/>
      <c r="G112" s="188"/>
      <c r="H112" s="188"/>
      <c r="I112" s="248">
        <v>-267.60000000000002</v>
      </c>
      <c r="J112" s="249">
        <v>257.77999999999997</v>
      </c>
      <c r="K112" s="224">
        <f>I112*J112</f>
        <v>-68981.928</v>
      </c>
      <c r="L112" s="188"/>
      <c r="M112" s="188"/>
      <c r="N112" s="188"/>
    </row>
    <row r="113" spans="1:14" ht="38.25" x14ac:dyDescent="0.25">
      <c r="B113" s="199" t="s">
        <v>88</v>
      </c>
      <c r="C113" s="200">
        <v>132254205</v>
      </c>
      <c r="D113" s="201" t="s">
        <v>159</v>
      </c>
      <c r="E113" s="199" t="s">
        <v>76</v>
      </c>
      <c r="F113" s="188"/>
      <c r="G113" s="188"/>
      <c r="H113" s="188"/>
      <c r="I113" s="248">
        <v>267.60000000000002</v>
      </c>
      <c r="J113" s="249">
        <v>397.09999999999997</v>
      </c>
      <c r="K113" s="224">
        <f t="shared" ref="K113:K120" si="3">I113*J113</f>
        <v>106263.96</v>
      </c>
      <c r="L113" s="188"/>
      <c r="M113" s="188"/>
      <c r="N113" s="188"/>
    </row>
    <row r="114" spans="1:14" ht="30" x14ac:dyDescent="0.25">
      <c r="B114" s="184" t="s">
        <v>88</v>
      </c>
      <c r="C114" s="185" t="s">
        <v>161</v>
      </c>
      <c r="D114" s="190" t="s">
        <v>162</v>
      </c>
      <c r="E114" s="187" t="s">
        <v>143</v>
      </c>
      <c r="F114" s="188"/>
      <c r="G114" s="188"/>
      <c r="H114" s="188"/>
      <c r="I114" s="248">
        <v>-549.79999999999995</v>
      </c>
      <c r="J114" s="249">
        <v>99.96</v>
      </c>
      <c r="K114" s="224">
        <f t="shared" si="3"/>
        <v>-54958.007999999994</v>
      </c>
      <c r="L114" s="188"/>
      <c r="M114" s="188"/>
      <c r="N114" s="188"/>
    </row>
    <row r="115" spans="1:14" ht="25.5" x14ac:dyDescent="0.25">
      <c r="B115" s="199" t="s">
        <v>88</v>
      </c>
      <c r="C115" s="202">
        <v>151201102</v>
      </c>
      <c r="D115" s="203" t="s">
        <v>163</v>
      </c>
      <c r="E115" s="199" t="s">
        <v>143</v>
      </c>
      <c r="F115" s="188"/>
      <c r="G115" s="188"/>
      <c r="H115" s="188"/>
      <c r="I115" s="248">
        <v>549.79999999999995</v>
      </c>
      <c r="J115" s="249">
        <v>268.84999999999997</v>
      </c>
      <c r="K115" s="224">
        <f t="shared" si="3"/>
        <v>147813.72999999998</v>
      </c>
      <c r="L115" s="188"/>
      <c r="M115" s="188"/>
      <c r="N115" s="188"/>
    </row>
    <row r="116" spans="1:14" x14ac:dyDescent="0.25">
      <c r="B116" s="195" t="s">
        <v>131</v>
      </c>
      <c r="C116" s="204" t="s">
        <v>119</v>
      </c>
      <c r="D116" s="197" t="s">
        <v>164</v>
      </c>
      <c r="E116" s="198"/>
      <c r="F116" s="188"/>
      <c r="G116" s="188"/>
      <c r="H116" s="188"/>
      <c r="I116" s="250"/>
      <c r="J116" s="250"/>
      <c r="K116" s="224"/>
      <c r="L116" s="188"/>
      <c r="M116" s="188"/>
      <c r="N116" s="188"/>
    </row>
    <row r="117" spans="1:14" ht="30" x14ac:dyDescent="0.25">
      <c r="B117" s="184" t="s">
        <v>131</v>
      </c>
      <c r="C117" s="185" t="s">
        <v>64</v>
      </c>
      <c r="D117" s="190" t="s">
        <v>65</v>
      </c>
      <c r="E117" s="187" t="s">
        <v>76</v>
      </c>
      <c r="F117" s="188"/>
      <c r="G117" s="188"/>
      <c r="H117" s="188"/>
      <c r="I117" s="248">
        <v>-100.7</v>
      </c>
      <c r="J117" s="249">
        <v>257.77999999999997</v>
      </c>
      <c r="K117" s="224">
        <f t="shared" si="3"/>
        <v>-25958.445999999996</v>
      </c>
      <c r="L117" s="188"/>
      <c r="M117" s="188"/>
      <c r="N117" s="188"/>
    </row>
    <row r="118" spans="1:14" ht="38.25" x14ac:dyDescent="0.25">
      <c r="B118" s="199" t="s">
        <v>131</v>
      </c>
      <c r="C118" s="200">
        <v>132254205</v>
      </c>
      <c r="D118" s="201" t="s">
        <v>159</v>
      </c>
      <c r="E118" s="199" t="s">
        <v>76</v>
      </c>
      <c r="F118" s="188"/>
      <c r="G118" s="188"/>
      <c r="H118" s="188"/>
      <c r="I118" s="248">
        <v>100.7</v>
      </c>
      <c r="J118" s="249">
        <v>397.09999999999997</v>
      </c>
      <c r="K118" s="224">
        <f t="shared" si="3"/>
        <v>39987.97</v>
      </c>
      <c r="L118" s="188"/>
      <c r="M118" s="188"/>
      <c r="N118" s="188"/>
    </row>
    <row r="119" spans="1:14" ht="30" x14ac:dyDescent="0.25">
      <c r="B119" s="184" t="s">
        <v>131</v>
      </c>
      <c r="C119" s="185" t="s">
        <v>161</v>
      </c>
      <c r="D119" s="190" t="s">
        <v>162</v>
      </c>
      <c r="E119" s="187" t="s">
        <v>143</v>
      </c>
      <c r="F119" s="188"/>
      <c r="G119" s="188"/>
      <c r="H119" s="188"/>
      <c r="I119" s="248">
        <v>-193.05</v>
      </c>
      <c r="J119" s="249">
        <v>99.96</v>
      </c>
      <c r="K119" s="224">
        <v>-19297.669999999998</v>
      </c>
      <c r="L119" s="188"/>
      <c r="M119" s="188"/>
      <c r="N119" s="188"/>
    </row>
    <row r="120" spans="1:14" ht="25.5" x14ac:dyDescent="0.25">
      <c r="B120" s="205"/>
      <c r="C120" s="202">
        <v>151201102</v>
      </c>
      <c r="D120" s="203" t="s">
        <v>163</v>
      </c>
      <c r="E120" s="199" t="s">
        <v>143</v>
      </c>
      <c r="F120" s="188"/>
      <c r="G120" s="188"/>
      <c r="H120" s="188"/>
      <c r="I120" s="248">
        <v>193.05</v>
      </c>
      <c r="J120" s="249">
        <v>268.84999999999997</v>
      </c>
      <c r="K120" s="224">
        <f t="shared" si="3"/>
        <v>51901.492499999993</v>
      </c>
      <c r="L120" s="188"/>
      <c r="M120" s="188"/>
      <c r="N120" s="188"/>
    </row>
    <row r="121" spans="1:14" x14ac:dyDescent="0.25">
      <c r="I121" s="251"/>
      <c r="J121" s="251"/>
      <c r="K121" s="251"/>
    </row>
    <row r="122" spans="1:14" x14ac:dyDescent="0.25">
      <c r="I122" s="251"/>
      <c r="J122" s="251"/>
      <c r="K122" s="252">
        <f>SUM(K112:K121)</f>
        <v>176771.1005</v>
      </c>
    </row>
    <row r="123" spans="1:14" x14ac:dyDescent="0.25">
      <c r="I123" s="251"/>
      <c r="J123" s="251"/>
      <c r="K123" s="252"/>
    </row>
    <row r="124" spans="1:14" ht="16.5" thickBot="1" x14ac:dyDescent="0.3">
      <c r="A124" s="121"/>
      <c r="B124" s="121"/>
      <c r="C124" s="122"/>
      <c r="D124" s="123"/>
      <c r="E124" s="121"/>
      <c r="F124" s="124"/>
      <c r="G124" s="125"/>
      <c r="H124" s="126"/>
      <c r="I124" s="127"/>
      <c r="J124" s="128"/>
      <c r="K124" s="129"/>
      <c r="L124" s="130"/>
      <c r="M124" s="130"/>
      <c r="N124" s="131"/>
    </row>
    <row r="125" spans="1:14" ht="16.5" thickBot="1" x14ac:dyDescent="0.3">
      <c r="A125" s="132"/>
      <c r="B125" s="133"/>
      <c r="C125" s="134"/>
      <c r="D125" s="135" t="s">
        <v>105</v>
      </c>
      <c r="E125" s="133"/>
      <c r="F125" s="136"/>
      <c r="G125" s="137"/>
      <c r="H125" s="138">
        <f>SUBTOTAL(9,H15:H124)</f>
        <v>0</v>
      </c>
      <c r="I125" s="139"/>
      <c r="J125" s="139"/>
      <c r="K125" s="140">
        <f>K122+K104+K90+K71+K49</f>
        <v>743107.00515979994</v>
      </c>
      <c r="L125" s="139"/>
      <c r="M125" s="139"/>
      <c r="N125" s="141">
        <f>N104+N90+N71+N49</f>
        <v>566336.21786889201</v>
      </c>
    </row>
    <row r="126" spans="1:14" ht="15.75" x14ac:dyDescent="0.25">
      <c r="A126" s="121"/>
      <c r="B126" s="121"/>
      <c r="C126" s="142"/>
      <c r="D126" s="143"/>
      <c r="E126" s="144"/>
      <c r="F126" s="145"/>
      <c r="G126" s="125"/>
      <c r="H126" s="146"/>
      <c r="I126" s="147"/>
      <c r="J126" s="148"/>
      <c r="K126" s="149"/>
      <c r="L126" s="150"/>
      <c r="M126" s="150"/>
      <c r="N126" s="151"/>
    </row>
    <row r="127" spans="1:14" ht="15.75" x14ac:dyDescent="0.25">
      <c r="A127" s="123"/>
      <c r="B127" s="123"/>
      <c r="C127" s="31" t="s">
        <v>18</v>
      </c>
      <c r="D127" s="35" t="s">
        <v>106</v>
      </c>
      <c r="E127" s="123"/>
      <c r="F127" s="152"/>
      <c r="G127" s="123"/>
      <c r="H127" s="35" t="s">
        <v>20</v>
      </c>
      <c r="I127" s="147"/>
      <c r="J127" s="153"/>
      <c r="K127" s="149"/>
      <c r="L127" s="36" t="s">
        <v>22</v>
      </c>
      <c r="M127" s="151"/>
      <c r="N127" s="151"/>
    </row>
    <row r="128" spans="1:14" ht="15.75" x14ac:dyDescent="0.25">
      <c r="A128" s="123"/>
      <c r="B128" s="123"/>
      <c r="C128" s="31"/>
      <c r="D128" s="35"/>
      <c r="E128" s="123"/>
      <c r="F128" s="152"/>
      <c r="G128" s="123"/>
      <c r="H128" s="35"/>
      <c r="I128" s="147"/>
      <c r="J128" s="153"/>
      <c r="K128" s="149"/>
      <c r="L128" s="36"/>
      <c r="M128" s="151"/>
      <c r="N128" s="151"/>
    </row>
    <row r="129" spans="1:14" ht="15.75" x14ac:dyDescent="0.25">
      <c r="A129" s="123"/>
      <c r="B129" s="123"/>
      <c r="C129" s="31" t="s">
        <v>19</v>
      </c>
      <c r="D129" s="31" t="s">
        <v>107</v>
      </c>
      <c r="E129" s="123"/>
      <c r="F129" s="152"/>
      <c r="G129" s="123"/>
      <c r="H129" s="31" t="s">
        <v>19</v>
      </c>
      <c r="I129" s="147"/>
      <c r="J129" s="153"/>
      <c r="K129" s="149"/>
      <c r="L129" s="31" t="s">
        <v>19</v>
      </c>
      <c r="M129" s="151"/>
      <c r="N129" s="151"/>
    </row>
  </sheetData>
  <mergeCells count="19">
    <mergeCell ref="F55:H55"/>
    <mergeCell ref="I55:K55"/>
    <mergeCell ref="L55:N55"/>
    <mergeCell ref="A11:E11"/>
    <mergeCell ref="F13:H13"/>
    <mergeCell ref="I13:K13"/>
    <mergeCell ref="L13:N13"/>
    <mergeCell ref="B53:F53"/>
    <mergeCell ref="F108:H108"/>
    <mergeCell ref="I108:K108"/>
    <mergeCell ref="L108:N108"/>
    <mergeCell ref="B77:F77"/>
    <mergeCell ref="F79:H79"/>
    <mergeCell ref="I79:K79"/>
    <mergeCell ref="L79:N79"/>
    <mergeCell ref="B92:F92"/>
    <mergeCell ref="F94:H94"/>
    <mergeCell ref="I94:K94"/>
    <mergeCell ref="L94:N94"/>
  </mergeCells>
  <conditionalFormatting sqref="AB1:AH1 A1:Z1">
    <cfRule type="cellIs" dxfId="17" priority="2" stopIfTrue="1" operator="lessThan">
      <formula>0</formula>
    </cfRule>
  </conditionalFormatting>
  <conditionalFormatting sqref="E3">
    <cfRule type="cellIs" dxfId="16" priority="1" stopIfTrue="1" operator="lessThan">
      <formula>0</formula>
    </cfRule>
  </conditionalFormatting>
  <pageMargins left="0.7" right="0.7" top="0.78740157499999996" bottom="0.78740157499999996" header="0.3" footer="0.3"/>
  <pageSetup paperSize="9" scale="64" orientation="landscape" r:id="rId1"/>
  <rowBreaks count="3" manualBreakCount="3">
    <brk id="38" max="13" man="1"/>
    <brk id="71" max="13" man="1"/>
    <brk id="104" max="13" man="1"/>
  </rowBreaks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E7AAC-7E9C-4DBD-BA6C-FB62E995B59F}">
  <dimension ref="A1:AH31"/>
  <sheetViews>
    <sheetView view="pageBreakPreview" topLeftCell="A2" zoomScale="60" zoomScaleNormal="100" workbookViewId="0">
      <selection activeCell="H23" sqref="H23"/>
    </sheetView>
  </sheetViews>
  <sheetFormatPr defaultRowHeight="15" x14ac:dyDescent="0.25"/>
  <cols>
    <col min="2" max="2" width="10.85546875" customWidth="1"/>
    <col min="3" max="3" width="35" customWidth="1"/>
    <col min="4" max="4" width="7.5703125" customWidth="1"/>
    <col min="7" max="7" width="13.42578125" customWidth="1"/>
    <col min="8" max="8" width="10.42578125" bestFit="1" customWidth="1"/>
    <col min="9" max="9" width="10.5703125" customWidth="1"/>
    <col min="10" max="10" width="18.42578125" bestFit="1" customWidth="1"/>
    <col min="11" max="11" width="13.140625" customWidth="1"/>
    <col min="12" max="12" width="11.85546875" customWidth="1"/>
    <col min="13" max="13" width="18.42578125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37"/>
      <c r="I1" s="37"/>
      <c r="J1" s="37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C2" s="2" t="s">
        <v>0</v>
      </c>
      <c r="D2" s="43" t="s">
        <v>359</v>
      </c>
      <c r="F2" s="44"/>
      <c r="G2" s="45"/>
      <c r="H2" s="46"/>
      <c r="I2" s="46"/>
      <c r="J2" s="46"/>
      <c r="K2" s="47"/>
      <c r="L2" s="47"/>
      <c r="M2" s="47"/>
      <c r="N2" s="46"/>
      <c r="O2" s="48"/>
      <c r="P2" s="49"/>
      <c r="Q2" s="48"/>
      <c r="R2" s="46"/>
      <c r="S2" s="47"/>
      <c r="T2" s="46"/>
      <c r="U2" s="47"/>
      <c r="V2" s="46"/>
      <c r="W2" s="47"/>
      <c r="X2" s="46"/>
      <c r="Y2" s="47"/>
      <c r="Z2" s="46"/>
      <c r="AA2" s="47"/>
      <c r="AB2" s="46"/>
      <c r="AC2" s="47"/>
      <c r="AD2" s="46"/>
      <c r="AE2" s="50"/>
      <c r="AF2" s="51"/>
      <c r="AG2" s="52"/>
      <c r="AH2" s="53"/>
    </row>
    <row r="3" spans="1:34" s="41" customFormat="1" ht="15.75" x14ac:dyDescent="0.25">
      <c r="A3" s="4"/>
      <c r="B3" s="42"/>
      <c r="C3" s="2" t="s">
        <v>2</v>
      </c>
      <c r="D3" s="3" t="s">
        <v>360</v>
      </c>
      <c r="F3" s="44"/>
      <c r="G3" s="45"/>
      <c r="H3" s="46"/>
      <c r="I3" s="46"/>
      <c r="J3" s="46"/>
      <c r="K3" s="47"/>
      <c r="L3" s="47"/>
      <c r="M3" s="47"/>
      <c r="N3" s="46"/>
      <c r="O3" s="48"/>
      <c r="P3" s="49"/>
      <c r="Q3" s="48"/>
      <c r="R3" s="46"/>
      <c r="S3" s="47"/>
      <c r="T3" s="46"/>
      <c r="U3" s="47"/>
      <c r="V3" s="46"/>
      <c r="W3" s="47"/>
      <c r="X3" s="46"/>
      <c r="Y3" s="47"/>
      <c r="Z3" s="46"/>
      <c r="AA3" s="47"/>
      <c r="AB3" s="46"/>
      <c r="AC3" s="47"/>
      <c r="AD3" s="46"/>
      <c r="AE3" s="50"/>
      <c r="AF3" s="51"/>
      <c r="AG3" s="52"/>
      <c r="AH3" s="53"/>
    </row>
    <row r="4" spans="1:34" s="41" customFormat="1" ht="15.75" x14ac:dyDescent="0.25">
      <c r="A4" s="4"/>
      <c r="B4" s="42"/>
      <c r="C4" s="54" t="s">
        <v>3</v>
      </c>
      <c r="D4" s="55" t="s">
        <v>23</v>
      </c>
      <c r="F4" s="44"/>
      <c r="G4" s="45"/>
      <c r="H4" s="46"/>
      <c r="I4" s="46"/>
      <c r="J4" s="46"/>
      <c r="K4" s="47"/>
      <c r="L4" s="47"/>
      <c r="M4" s="47"/>
      <c r="N4" s="46"/>
      <c r="O4" s="48"/>
      <c r="P4" s="49"/>
      <c r="Q4" s="48"/>
      <c r="R4" s="46"/>
      <c r="S4" s="47"/>
      <c r="T4" s="46"/>
      <c r="U4" s="47"/>
      <c r="V4" s="46"/>
      <c r="W4" s="47"/>
      <c r="X4" s="46"/>
      <c r="Y4" s="47"/>
      <c r="Z4" s="46"/>
      <c r="AA4" s="47"/>
      <c r="AB4" s="46"/>
      <c r="AC4" s="47"/>
      <c r="AD4" s="46"/>
      <c r="AE4" s="50"/>
      <c r="AF4" s="51"/>
      <c r="AG4" s="52"/>
      <c r="AH4" s="53"/>
    </row>
    <row r="5" spans="1:34" s="41" customFormat="1" ht="15.75" x14ac:dyDescent="0.25">
      <c r="A5" s="42"/>
      <c r="B5" s="42"/>
      <c r="C5" s="54" t="s">
        <v>5</v>
      </c>
      <c r="D5" s="55"/>
      <c r="F5" s="56"/>
      <c r="G5" s="45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1" customFormat="1" ht="15.75" x14ac:dyDescent="0.25">
      <c r="A6" s="42"/>
      <c r="B6" s="42"/>
      <c r="C6" s="2" t="s">
        <v>7</v>
      </c>
      <c r="D6" s="55" t="s">
        <v>24</v>
      </c>
      <c r="F6" s="56"/>
      <c r="G6" s="45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1" customFormat="1" ht="15.75" x14ac:dyDescent="0.25">
      <c r="A7" s="42"/>
      <c r="B7" s="42"/>
      <c r="C7" s="2" t="s">
        <v>9</v>
      </c>
      <c r="D7" s="65" t="s">
        <v>10</v>
      </c>
      <c r="F7" s="56"/>
      <c r="G7" s="45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9" spans="1:34" ht="18" x14ac:dyDescent="0.25">
      <c r="B9" s="183" t="s">
        <v>357</v>
      </c>
    </row>
    <row r="12" spans="1:34" ht="15.75" x14ac:dyDescent="0.25">
      <c r="A12" s="192" t="s">
        <v>140</v>
      </c>
      <c r="B12" s="77"/>
      <c r="C12" s="75"/>
      <c r="D12" s="75"/>
      <c r="E12" s="265" t="s">
        <v>50</v>
      </c>
      <c r="F12" s="265"/>
      <c r="G12" s="265"/>
      <c r="H12" s="266" t="s">
        <v>51</v>
      </c>
      <c r="I12" s="266"/>
      <c r="J12" s="266"/>
      <c r="K12" s="267" t="s">
        <v>16</v>
      </c>
      <c r="L12" s="267"/>
      <c r="M12" s="267"/>
    </row>
    <row r="13" spans="1:34" ht="24" x14ac:dyDescent="0.25">
      <c r="A13" s="78" t="s">
        <v>52</v>
      </c>
      <c r="B13" s="78" t="s">
        <v>366</v>
      </c>
      <c r="C13" s="78" t="s">
        <v>53</v>
      </c>
      <c r="D13" s="79" t="s">
        <v>54</v>
      </c>
      <c r="E13" s="80" t="s">
        <v>55</v>
      </c>
      <c r="F13" s="81" t="s">
        <v>56</v>
      </c>
      <c r="G13" s="82" t="s">
        <v>57</v>
      </c>
      <c r="H13" s="83" t="s">
        <v>55</v>
      </c>
      <c r="I13" s="84" t="s">
        <v>58</v>
      </c>
      <c r="J13" s="85" t="s">
        <v>57</v>
      </c>
      <c r="K13" s="86" t="s">
        <v>55</v>
      </c>
      <c r="L13" s="87" t="s">
        <v>58</v>
      </c>
      <c r="M13" s="88" t="s">
        <v>59</v>
      </c>
    </row>
    <row r="14" spans="1:34" x14ac:dyDescent="0.25">
      <c r="A14" s="89"/>
      <c r="B14" s="90"/>
      <c r="C14" s="91"/>
      <c r="D14" s="91"/>
      <c r="E14" s="91"/>
      <c r="F14" s="92"/>
      <c r="G14" s="93"/>
      <c r="H14" s="94"/>
      <c r="I14" s="94"/>
      <c r="J14" s="94"/>
      <c r="K14" s="93"/>
      <c r="L14" s="93"/>
      <c r="M14" s="93"/>
    </row>
    <row r="15" spans="1:34" ht="25.5" x14ac:dyDescent="0.25">
      <c r="A15" s="184" t="s">
        <v>120</v>
      </c>
      <c r="B15" s="185" t="s">
        <v>121</v>
      </c>
      <c r="C15" s="186" t="s">
        <v>122</v>
      </c>
      <c r="D15" s="187" t="s">
        <v>76</v>
      </c>
      <c r="E15" s="188"/>
      <c r="F15" s="188"/>
      <c r="G15" s="188"/>
      <c r="H15" s="189">
        <v>61.213250000000016</v>
      </c>
      <c r="I15" s="189">
        <v>3092.45</v>
      </c>
      <c r="J15" s="224">
        <v>189298.91496250004</v>
      </c>
      <c r="K15" s="191">
        <v>61.213250000000016</v>
      </c>
      <c r="L15" s="191">
        <v>3092.45</v>
      </c>
      <c r="M15" s="225">
        <v>189298.91496250004</v>
      </c>
    </row>
    <row r="16" spans="1:34" ht="30" x14ac:dyDescent="0.25">
      <c r="A16" s="184" t="s">
        <v>123</v>
      </c>
      <c r="B16" s="185" t="s">
        <v>121</v>
      </c>
      <c r="C16" s="190" t="s">
        <v>122</v>
      </c>
      <c r="D16" s="187" t="s">
        <v>76</v>
      </c>
      <c r="E16" s="188"/>
      <c r="F16" s="188"/>
      <c r="G16" s="188"/>
      <c r="H16" s="189">
        <v>22.961750000000002</v>
      </c>
      <c r="I16" s="189">
        <v>3092.45</v>
      </c>
      <c r="J16" s="224">
        <v>71008.063787499996</v>
      </c>
      <c r="K16" s="191">
        <v>22.961750000000002</v>
      </c>
      <c r="L16" s="191">
        <v>3092.45</v>
      </c>
      <c r="M16" s="225">
        <v>71008.063787499996</v>
      </c>
    </row>
    <row r="17" spans="1:13" ht="30" x14ac:dyDescent="0.25">
      <c r="A17" s="184" t="s">
        <v>125</v>
      </c>
      <c r="B17" s="185" t="s">
        <v>121</v>
      </c>
      <c r="C17" s="190" t="s">
        <v>122</v>
      </c>
      <c r="D17" s="187" t="s">
        <v>76</v>
      </c>
      <c r="E17" s="188"/>
      <c r="F17" s="188"/>
      <c r="G17" s="188"/>
      <c r="H17" s="189">
        <v>-7.9250000000000043E-2</v>
      </c>
      <c r="I17" s="189">
        <v>3092.45</v>
      </c>
      <c r="J17" s="224">
        <v>-245.07666250000011</v>
      </c>
      <c r="K17" s="191">
        <v>-7.9250000000000043E-2</v>
      </c>
      <c r="L17" s="191">
        <v>3092.45</v>
      </c>
      <c r="M17" s="225">
        <v>-245.07666250000011</v>
      </c>
    </row>
    <row r="18" spans="1:13" ht="30" x14ac:dyDescent="0.25">
      <c r="A18" s="184" t="s">
        <v>88</v>
      </c>
      <c r="B18" s="185" t="s">
        <v>121</v>
      </c>
      <c r="C18" s="190" t="s">
        <v>122</v>
      </c>
      <c r="D18" s="187" t="s">
        <v>76</v>
      </c>
      <c r="E18" s="188"/>
      <c r="F18" s="188"/>
      <c r="G18" s="188"/>
      <c r="H18" s="189">
        <v>19.455500000000008</v>
      </c>
      <c r="I18" s="189">
        <v>3092.45</v>
      </c>
      <c r="J18" s="224">
        <v>60165.160975000021</v>
      </c>
      <c r="K18" s="191">
        <v>19.455500000000008</v>
      </c>
      <c r="L18" s="191">
        <v>3092.45</v>
      </c>
      <c r="M18" s="225">
        <v>60165.160975000021</v>
      </c>
    </row>
    <row r="19" spans="1:13" ht="30" x14ac:dyDescent="0.25">
      <c r="A19" s="184" t="s">
        <v>128</v>
      </c>
      <c r="B19" s="185" t="s">
        <v>121</v>
      </c>
      <c r="C19" s="190" t="s">
        <v>122</v>
      </c>
      <c r="D19" s="187" t="s">
        <v>76</v>
      </c>
      <c r="E19" s="188"/>
      <c r="F19" s="188"/>
      <c r="G19" s="188"/>
      <c r="H19" s="189">
        <v>1.4285000000000005</v>
      </c>
      <c r="I19" s="189">
        <v>3092.45</v>
      </c>
      <c r="J19" s="224">
        <v>4417.5648250000013</v>
      </c>
      <c r="K19" s="191">
        <v>1.4285000000000005</v>
      </c>
      <c r="L19" s="191">
        <v>3092.45</v>
      </c>
      <c r="M19" s="225">
        <v>4417.5648250000013</v>
      </c>
    </row>
    <row r="20" spans="1:13" ht="30" x14ac:dyDescent="0.25">
      <c r="A20" s="184" t="s">
        <v>130</v>
      </c>
      <c r="B20" s="185" t="s">
        <v>121</v>
      </c>
      <c r="C20" s="190" t="s">
        <v>122</v>
      </c>
      <c r="D20" s="187" t="s">
        <v>76</v>
      </c>
      <c r="E20" s="188"/>
      <c r="F20" s="188"/>
      <c r="G20" s="188"/>
      <c r="H20" s="189">
        <v>1.2409999999999999</v>
      </c>
      <c r="I20" s="189">
        <v>3092.45</v>
      </c>
      <c r="J20" s="224">
        <v>3837.7304499999996</v>
      </c>
      <c r="K20" s="191">
        <v>1.2409999999999999</v>
      </c>
      <c r="L20" s="191">
        <v>3092.45</v>
      </c>
      <c r="M20" s="225">
        <v>3837.7304499999996</v>
      </c>
    </row>
    <row r="21" spans="1:13" ht="30" x14ac:dyDescent="0.25">
      <c r="A21" s="184" t="s">
        <v>131</v>
      </c>
      <c r="B21" s="185" t="s">
        <v>121</v>
      </c>
      <c r="C21" s="190" t="s">
        <v>122</v>
      </c>
      <c r="D21" s="187" t="s">
        <v>76</v>
      </c>
      <c r="E21" s="188"/>
      <c r="F21" s="188"/>
      <c r="G21" s="188"/>
      <c r="H21" s="189">
        <v>9.0032499999999978</v>
      </c>
      <c r="I21" s="189">
        <v>3092.45</v>
      </c>
      <c r="J21" s="224">
        <v>27842.100462499991</v>
      </c>
      <c r="K21" s="191">
        <v>9.0032499999999978</v>
      </c>
      <c r="L21" s="191">
        <v>3092.45</v>
      </c>
      <c r="M21" s="225">
        <v>27842.100462499991</v>
      </c>
    </row>
    <row r="22" spans="1:13" ht="30" x14ac:dyDescent="0.25">
      <c r="A22" s="184" t="s">
        <v>133</v>
      </c>
      <c r="B22" s="185" t="s">
        <v>121</v>
      </c>
      <c r="C22" s="190" t="s">
        <v>122</v>
      </c>
      <c r="D22" s="187" t="s">
        <v>76</v>
      </c>
      <c r="E22" s="188"/>
      <c r="F22" s="188"/>
      <c r="G22" s="188"/>
      <c r="H22" s="189">
        <v>2.6989999999999998</v>
      </c>
      <c r="I22" s="189">
        <v>3092.45</v>
      </c>
      <c r="J22" s="224">
        <v>8346.5225499999997</v>
      </c>
      <c r="K22" s="191">
        <v>2.6989999999999998</v>
      </c>
      <c r="L22" s="191">
        <v>3092.45</v>
      </c>
      <c r="M22" s="225">
        <v>8346.5225499999997</v>
      </c>
    </row>
    <row r="23" spans="1:13" ht="30" x14ac:dyDescent="0.25">
      <c r="A23" s="184" t="s">
        <v>135</v>
      </c>
      <c r="B23" s="185" t="s">
        <v>121</v>
      </c>
      <c r="C23" s="190" t="s">
        <v>122</v>
      </c>
      <c r="D23" s="187" t="s">
        <v>76</v>
      </c>
      <c r="E23" s="188"/>
      <c r="F23" s="188"/>
      <c r="G23" s="188"/>
      <c r="H23" s="189">
        <v>21.607250000000001</v>
      </c>
      <c r="I23" s="189">
        <v>3092.45</v>
      </c>
      <c r="J23" s="224">
        <v>66819.340262500002</v>
      </c>
      <c r="K23" s="191">
        <v>21.607250000000001</v>
      </c>
      <c r="L23" s="191">
        <v>3092.45</v>
      </c>
      <c r="M23" s="225">
        <v>66819.340262500002</v>
      </c>
    </row>
    <row r="24" spans="1:13" ht="30" x14ac:dyDescent="0.25">
      <c r="A24" s="184" t="s">
        <v>137</v>
      </c>
      <c r="B24" s="185" t="s">
        <v>121</v>
      </c>
      <c r="C24" s="190" t="s">
        <v>122</v>
      </c>
      <c r="D24" s="187" t="s">
        <v>76</v>
      </c>
      <c r="E24" s="188"/>
      <c r="F24" s="188"/>
      <c r="G24" s="188"/>
      <c r="H24" s="189">
        <v>14.421499999999988</v>
      </c>
      <c r="I24" s="189">
        <v>3092.45</v>
      </c>
      <c r="J24" s="224">
        <v>44597.767674999959</v>
      </c>
      <c r="K24" s="191">
        <v>14.421499999999988</v>
      </c>
      <c r="L24" s="191">
        <v>3092.45</v>
      </c>
      <c r="M24" s="225">
        <v>44597.767674999959</v>
      </c>
    </row>
    <row r="25" spans="1:13" ht="30" x14ac:dyDescent="0.25">
      <c r="A25" s="184" t="s">
        <v>139</v>
      </c>
      <c r="B25" s="185" t="s">
        <v>121</v>
      </c>
      <c r="C25" s="190" t="s">
        <v>122</v>
      </c>
      <c r="D25" s="187" t="s">
        <v>76</v>
      </c>
      <c r="E25" s="188"/>
      <c r="F25" s="188"/>
      <c r="G25" s="188"/>
      <c r="H25" s="189">
        <v>17.733712499999999</v>
      </c>
      <c r="I25" s="189">
        <v>3092.45</v>
      </c>
      <c r="J25" s="224">
        <v>54840.619220624998</v>
      </c>
      <c r="K25" s="191">
        <v>17.733712499999999</v>
      </c>
      <c r="L25" s="191">
        <v>3092.45</v>
      </c>
      <c r="M25" s="225">
        <v>54840.619220624998</v>
      </c>
    </row>
    <row r="26" spans="1:13" ht="15.75" thickBot="1" x14ac:dyDescent="0.3"/>
    <row r="27" spans="1:13" ht="16.5" thickBot="1" x14ac:dyDescent="0.3">
      <c r="A27" s="132"/>
      <c r="B27" s="134"/>
      <c r="C27" s="135" t="s">
        <v>105</v>
      </c>
      <c r="D27" s="133"/>
      <c r="E27" s="136"/>
      <c r="F27" s="137"/>
      <c r="G27" s="138">
        <f>SUBTOTAL(9,G17:G26)</f>
        <v>0</v>
      </c>
      <c r="H27" s="139"/>
      <c r="I27" s="139"/>
      <c r="J27" s="140">
        <f>SUBTOTAL(9,J15:J26)</f>
        <v>530928.70850812492</v>
      </c>
      <c r="K27" s="139"/>
      <c r="L27" s="139"/>
      <c r="M27" s="141">
        <f>SUBTOTAL(9,M15:M26)</f>
        <v>530928.70850812492</v>
      </c>
    </row>
    <row r="28" spans="1:13" ht="15.75" x14ac:dyDescent="0.25">
      <c r="A28" s="121"/>
      <c r="B28" s="142"/>
      <c r="C28" s="143"/>
      <c r="D28" s="144"/>
      <c r="E28" s="145"/>
      <c r="F28" s="125"/>
      <c r="G28" s="146"/>
      <c r="H28" s="147"/>
      <c r="I28" s="148"/>
      <c r="J28" s="149"/>
      <c r="K28" s="150"/>
      <c r="L28" s="150"/>
      <c r="M28" s="151"/>
    </row>
    <row r="29" spans="1:13" ht="15.75" x14ac:dyDescent="0.25">
      <c r="A29" s="123"/>
      <c r="B29" s="31" t="s">
        <v>18</v>
      </c>
      <c r="C29" s="35" t="s">
        <v>106</v>
      </c>
      <c r="D29" s="123"/>
      <c r="E29" s="152"/>
      <c r="F29" s="123"/>
      <c r="G29" s="35" t="s">
        <v>20</v>
      </c>
      <c r="H29" s="147"/>
      <c r="I29" s="153"/>
      <c r="J29" s="149"/>
      <c r="K29" s="36" t="s">
        <v>22</v>
      </c>
      <c r="L29" s="151"/>
      <c r="M29" s="151"/>
    </row>
    <row r="30" spans="1:13" ht="15.75" x14ac:dyDescent="0.25">
      <c r="A30" s="123"/>
      <c r="B30" s="31"/>
      <c r="C30" s="35"/>
      <c r="D30" s="123"/>
      <c r="E30" s="152"/>
      <c r="F30" s="123"/>
      <c r="G30" s="35"/>
      <c r="H30" s="147"/>
      <c r="I30" s="153"/>
      <c r="J30" s="149"/>
      <c r="K30" s="36"/>
      <c r="L30" s="151"/>
      <c r="M30" s="151"/>
    </row>
    <row r="31" spans="1:13" ht="15.75" x14ac:dyDescent="0.25">
      <c r="A31" s="123"/>
      <c r="B31" s="31" t="s">
        <v>19</v>
      </c>
      <c r="C31" s="31" t="s">
        <v>107</v>
      </c>
      <c r="D31" s="123"/>
      <c r="E31" s="152"/>
      <c r="F31" s="123"/>
      <c r="G31" s="31" t="s">
        <v>19</v>
      </c>
      <c r="H31" s="147"/>
      <c r="I31" s="153"/>
      <c r="J31" s="149"/>
      <c r="K31" s="31" t="s">
        <v>19</v>
      </c>
      <c r="L31" s="151"/>
      <c r="M31" s="151"/>
    </row>
  </sheetData>
  <mergeCells count="3">
    <mergeCell ref="E12:G12"/>
    <mergeCell ref="H12:J12"/>
    <mergeCell ref="K12:M12"/>
  </mergeCells>
  <conditionalFormatting sqref="AB1:AH1 A1:Z1">
    <cfRule type="cellIs" dxfId="15" priority="2" stopIfTrue="1" operator="lessThan">
      <formula>0</formula>
    </cfRule>
  </conditionalFormatting>
  <conditionalFormatting sqref="D3">
    <cfRule type="cellIs" dxfId="14" priority="1" stopIfTrue="1" operator="lessThan">
      <formula>0</formula>
    </cfRule>
  </conditionalFormatting>
  <pageMargins left="0.7" right="0.7" top="0.78740157499999996" bottom="0.78740157499999996" header="0.3" footer="0.3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AE35B-8493-4BF8-88AA-25D2F7769CEE}">
  <dimension ref="A1:AH27"/>
  <sheetViews>
    <sheetView view="pageBreakPreview" zoomScale="70" zoomScaleNormal="100" zoomScaleSheetLayoutView="70" workbookViewId="0">
      <selection activeCell="H14" sqref="H14"/>
    </sheetView>
  </sheetViews>
  <sheetFormatPr defaultRowHeight="15" x14ac:dyDescent="0.25"/>
  <cols>
    <col min="3" max="3" width="44.85546875" customWidth="1"/>
    <col min="4" max="4" width="6.7109375" customWidth="1"/>
    <col min="7" max="7" width="10.42578125" bestFit="1" customWidth="1"/>
    <col min="8" max="8" width="13.5703125" customWidth="1"/>
    <col min="9" max="9" width="11.42578125" customWidth="1"/>
    <col min="10" max="10" width="18.42578125" bestFit="1" customWidth="1"/>
    <col min="11" max="11" width="11.42578125" customWidth="1"/>
    <col min="12" max="12" width="11.7109375" customWidth="1"/>
    <col min="13" max="13" width="18.42578125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37"/>
      <c r="I1" s="37"/>
      <c r="J1" s="37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D2" s="2" t="s">
        <v>0</v>
      </c>
      <c r="E2" s="43" t="s">
        <v>359</v>
      </c>
      <c r="F2" s="44"/>
      <c r="G2" s="45"/>
      <c r="H2" s="46"/>
      <c r="I2" s="46"/>
      <c r="J2" s="46"/>
      <c r="K2" s="47"/>
      <c r="L2" s="47"/>
      <c r="M2" s="47"/>
      <c r="N2" s="46"/>
      <c r="O2" s="48"/>
      <c r="P2" s="49"/>
      <c r="Q2" s="48"/>
      <c r="R2" s="46"/>
      <c r="S2" s="47"/>
      <c r="T2" s="46"/>
      <c r="U2" s="47"/>
      <c r="V2" s="46"/>
      <c r="W2" s="47"/>
      <c r="X2" s="46"/>
      <c r="Y2" s="47"/>
      <c r="Z2" s="46"/>
      <c r="AA2" s="47"/>
      <c r="AB2" s="46"/>
      <c r="AC2" s="47"/>
      <c r="AD2" s="46"/>
      <c r="AE2" s="50"/>
      <c r="AF2" s="51"/>
      <c r="AG2" s="52"/>
      <c r="AH2" s="53"/>
    </row>
    <row r="3" spans="1:34" s="41" customFormat="1" ht="15.75" x14ac:dyDescent="0.25">
      <c r="A3" s="4"/>
      <c r="B3" s="42"/>
      <c r="D3" s="2" t="s">
        <v>2</v>
      </c>
      <c r="E3" s="3" t="s">
        <v>360</v>
      </c>
      <c r="F3" s="44"/>
      <c r="G3" s="45"/>
      <c r="H3" s="46"/>
      <c r="I3" s="46"/>
      <c r="J3" s="46"/>
      <c r="K3" s="47"/>
      <c r="L3" s="47"/>
      <c r="M3" s="47"/>
      <c r="N3" s="46"/>
      <c r="O3" s="48"/>
      <c r="P3" s="49"/>
      <c r="Q3" s="48"/>
      <c r="R3" s="46"/>
      <c r="S3" s="47"/>
      <c r="T3" s="46"/>
      <c r="U3" s="47"/>
      <c r="V3" s="46"/>
      <c r="W3" s="47"/>
      <c r="X3" s="46"/>
      <c r="Y3" s="47"/>
      <c r="Z3" s="46"/>
      <c r="AA3" s="47"/>
      <c r="AB3" s="46"/>
      <c r="AC3" s="47"/>
      <c r="AD3" s="46"/>
      <c r="AE3" s="50"/>
      <c r="AF3" s="51"/>
      <c r="AG3" s="52"/>
      <c r="AH3" s="53"/>
    </row>
    <row r="4" spans="1:34" s="41" customFormat="1" ht="15.75" x14ac:dyDescent="0.25">
      <c r="A4" s="4"/>
      <c r="B4" s="42"/>
      <c r="D4" s="54" t="s">
        <v>3</v>
      </c>
      <c r="E4" s="55" t="s">
        <v>23</v>
      </c>
      <c r="F4" s="44"/>
      <c r="G4" s="45"/>
      <c r="H4" s="46"/>
      <c r="I4" s="46"/>
      <c r="J4" s="46"/>
      <c r="K4" s="47"/>
      <c r="L4" s="47"/>
      <c r="M4" s="47"/>
      <c r="N4" s="46"/>
      <c r="O4" s="48"/>
      <c r="P4" s="49"/>
      <c r="Q4" s="48"/>
      <c r="R4" s="46"/>
      <c r="S4" s="47"/>
      <c r="T4" s="46"/>
      <c r="U4" s="47"/>
      <c r="V4" s="46"/>
      <c r="W4" s="47"/>
      <c r="X4" s="46"/>
      <c r="Y4" s="47"/>
      <c r="Z4" s="46"/>
      <c r="AA4" s="47"/>
      <c r="AB4" s="46"/>
      <c r="AC4" s="47"/>
      <c r="AD4" s="46"/>
      <c r="AE4" s="50"/>
      <c r="AF4" s="51"/>
      <c r="AG4" s="52"/>
      <c r="AH4" s="53"/>
    </row>
    <row r="5" spans="1:34" s="41" customFormat="1" ht="15.75" x14ac:dyDescent="0.25">
      <c r="A5" s="42"/>
      <c r="B5" s="42"/>
      <c r="D5" s="54" t="s">
        <v>5</v>
      </c>
      <c r="E5" s="55"/>
      <c r="F5" s="56"/>
      <c r="G5" s="45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1" customFormat="1" ht="15.75" x14ac:dyDescent="0.25">
      <c r="A6" s="42"/>
      <c r="B6" s="42"/>
      <c r="D6" s="2" t="s">
        <v>7</v>
      </c>
      <c r="E6" s="55" t="s">
        <v>24</v>
      </c>
      <c r="F6" s="56"/>
      <c r="G6" s="45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1" customFormat="1" ht="15.75" x14ac:dyDescent="0.25">
      <c r="A7" s="42"/>
      <c r="B7" s="42"/>
      <c r="D7" s="2" t="s">
        <v>9</v>
      </c>
      <c r="E7" s="65" t="s">
        <v>10</v>
      </c>
      <c r="F7" s="56"/>
      <c r="G7" s="45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9" spans="1:34" ht="18" x14ac:dyDescent="0.25">
      <c r="B9" s="183" t="s">
        <v>358</v>
      </c>
    </row>
    <row r="11" spans="1:34" ht="15.75" x14ac:dyDescent="0.25">
      <c r="A11" s="192"/>
      <c r="B11" s="77"/>
      <c r="C11" s="75"/>
      <c r="D11" s="75"/>
      <c r="E11" s="265" t="s">
        <v>50</v>
      </c>
      <c r="F11" s="265"/>
      <c r="G11" s="265"/>
      <c r="H11" s="266" t="s">
        <v>51</v>
      </c>
      <c r="I11" s="266"/>
      <c r="J11" s="266"/>
      <c r="K11" s="267" t="s">
        <v>16</v>
      </c>
      <c r="L11" s="267"/>
      <c r="M11" s="267"/>
    </row>
    <row r="12" spans="1:34" ht="24" x14ac:dyDescent="0.25">
      <c r="A12" s="78" t="s">
        <v>52</v>
      </c>
      <c r="B12" s="78" t="s">
        <v>366</v>
      </c>
      <c r="C12" s="78" t="s">
        <v>53</v>
      </c>
      <c r="D12" s="79" t="s">
        <v>54</v>
      </c>
      <c r="E12" s="80" t="s">
        <v>55</v>
      </c>
      <c r="F12" s="81" t="s">
        <v>56</v>
      </c>
      <c r="G12" s="82" t="s">
        <v>57</v>
      </c>
      <c r="H12" s="83" t="s">
        <v>55</v>
      </c>
      <c r="I12" s="84" t="s">
        <v>58</v>
      </c>
      <c r="J12" s="85" t="s">
        <v>57</v>
      </c>
      <c r="K12" s="86" t="s">
        <v>55</v>
      </c>
      <c r="L12" s="87" t="s">
        <v>58</v>
      </c>
      <c r="M12" s="88" t="s">
        <v>59</v>
      </c>
    </row>
    <row r="13" spans="1:34" x14ac:dyDescent="0.25">
      <c r="A13" s="89"/>
      <c r="B13" s="90"/>
      <c r="C13" s="91"/>
      <c r="D13" s="91"/>
      <c r="E13" s="91"/>
      <c r="F13" s="92"/>
      <c r="G13" s="93"/>
      <c r="H13" s="94"/>
      <c r="I13" s="94"/>
      <c r="J13" s="94"/>
      <c r="K13" s="93"/>
      <c r="L13" s="93"/>
      <c r="M13" s="93"/>
    </row>
    <row r="14" spans="1:34" ht="25.5" x14ac:dyDescent="0.25">
      <c r="A14" s="184" t="s">
        <v>120</v>
      </c>
      <c r="B14" s="185" t="s">
        <v>141</v>
      </c>
      <c r="C14" s="186" t="s">
        <v>142</v>
      </c>
      <c r="D14" s="187" t="s">
        <v>143</v>
      </c>
      <c r="F14">
        <v>23.2</v>
      </c>
      <c r="H14" s="274">
        <v>3283.8339999999998</v>
      </c>
      <c r="I14" s="193">
        <v>23.2</v>
      </c>
      <c r="J14" s="226">
        <f>H14*I14</f>
        <v>76184.948799999998</v>
      </c>
      <c r="K14" s="194">
        <v>3283.8290000000002</v>
      </c>
      <c r="L14" s="194">
        <v>23.2</v>
      </c>
      <c r="M14" s="227">
        <v>76184.832800000004</v>
      </c>
    </row>
    <row r="15" spans="1:34" ht="25.5" x14ac:dyDescent="0.25">
      <c r="A15" s="184" t="s">
        <v>120</v>
      </c>
      <c r="B15" s="185" t="s">
        <v>144</v>
      </c>
      <c r="C15" s="186" t="s">
        <v>145</v>
      </c>
      <c r="D15" s="187" t="s">
        <v>143</v>
      </c>
      <c r="F15">
        <v>443.02</v>
      </c>
      <c r="H15" s="274">
        <v>1399.5740000000001</v>
      </c>
      <c r="I15" s="193">
        <v>443.02</v>
      </c>
      <c r="J15" s="226">
        <f>H15*I15</f>
        <v>620039.27347999997</v>
      </c>
      <c r="K15" s="194">
        <v>1399.58</v>
      </c>
      <c r="L15" s="194">
        <v>443.02</v>
      </c>
      <c r="M15" s="227">
        <v>620041.93159999989</v>
      </c>
    </row>
    <row r="16" spans="1:34" ht="25.5" x14ac:dyDescent="0.25">
      <c r="A16" s="184" t="s">
        <v>123</v>
      </c>
      <c r="B16" s="185" t="s">
        <v>146</v>
      </c>
      <c r="C16" s="186" t="s">
        <v>147</v>
      </c>
      <c r="D16" s="187" t="s">
        <v>143</v>
      </c>
      <c r="F16">
        <v>40.770000000000003</v>
      </c>
      <c r="H16" s="193"/>
      <c r="I16" s="193">
        <v>40.770000000000003</v>
      </c>
      <c r="J16" s="226">
        <v>0</v>
      </c>
      <c r="K16" s="194"/>
      <c r="L16" s="194">
        <v>40.770000000000003</v>
      </c>
      <c r="M16" s="227">
        <v>0</v>
      </c>
    </row>
    <row r="17" spans="1:13" ht="25.5" x14ac:dyDescent="0.25">
      <c r="A17" s="184" t="s">
        <v>123</v>
      </c>
      <c r="B17" s="185" t="s">
        <v>148</v>
      </c>
      <c r="C17" s="186" t="s">
        <v>149</v>
      </c>
      <c r="D17" s="187" t="s">
        <v>143</v>
      </c>
      <c r="F17">
        <v>545.42999999999995</v>
      </c>
      <c r="H17" s="193"/>
      <c r="I17" s="193">
        <v>545.42999999999995</v>
      </c>
      <c r="J17" s="226">
        <v>0</v>
      </c>
      <c r="K17" s="194"/>
      <c r="L17" s="194">
        <v>545.42999999999995</v>
      </c>
      <c r="M17" s="227">
        <v>0</v>
      </c>
    </row>
    <row r="18" spans="1:13" ht="30" x14ac:dyDescent="0.25">
      <c r="A18" s="184" t="s">
        <v>88</v>
      </c>
      <c r="B18" s="185" t="s">
        <v>146</v>
      </c>
      <c r="C18" s="190" t="s">
        <v>147</v>
      </c>
      <c r="D18" s="187" t="s">
        <v>143</v>
      </c>
      <c r="F18">
        <v>40.770000000000003</v>
      </c>
      <c r="H18" s="193"/>
      <c r="I18" s="193">
        <v>40.770000000000003</v>
      </c>
      <c r="J18" s="226">
        <v>0</v>
      </c>
      <c r="K18" s="194"/>
      <c r="L18" s="194">
        <v>40.770000000000003</v>
      </c>
      <c r="M18" s="227">
        <v>0</v>
      </c>
    </row>
    <row r="19" spans="1:13" ht="30" x14ac:dyDescent="0.25">
      <c r="A19" s="184" t="s">
        <v>88</v>
      </c>
      <c r="B19" s="185" t="s">
        <v>148</v>
      </c>
      <c r="C19" s="190" t="s">
        <v>149</v>
      </c>
      <c r="D19" s="187" t="s">
        <v>143</v>
      </c>
      <c r="F19">
        <v>545.42999999999995</v>
      </c>
      <c r="H19" s="193"/>
      <c r="I19" s="193">
        <v>545.42999999999995</v>
      </c>
      <c r="J19" s="226">
        <v>0</v>
      </c>
      <c r="K19" s="194"/>
      <c r="L19" s="194">
        <v>545.42999999999995</v>
      </c>
      <c r="M19" s="227">
        <v>0</v>
      </c>
    </row>
    <row r="20" spans="1:13" ht="30" x14ac:dyDescent="0.25">
      <c r="A20" s="184" t="s">
        <v>135</v>
      </c>
      <c r="B20" s="185" t="s">
        <v>146</v>
      </c>
      <c r="C20" s="190" t="s">
        <v>147</v>
      </c>
      <c r="D20" s="187" t="s">
        <v>143</v>
      </c>
      <c r="F20">
        <v>40.770000000000003</v>
      </c>
      <c r="H20" s="193"/>
      <c r="I20" s="193">
        <v>40.770000000000003</v>
      </c>
      <c r="J20" s="226">
        <v>0</v>
      </c>
      <c r="K20" s="194"/>
      <c r="L20" s="194">
        <v>40.770000000000003</v>
      </c>
      <c r="M20" s="227">
        <v>0</v>
      </c>
    </row>
    <row r="21" spans="1:13" ht="30" x14ac:dyDescent="0.25">
      <c r="A21" s="184" t="s">
        <v>135</v>
      </c>
      <c r="B21" s="185" t="s">
        <v>148</v>
      </c>
      <c r="C21" s="190" t="s">
        <v>149</v>
      </c>
      <c r="D21" s="187" t="s">
        <v>143</v>
      </c>
      <c r="F21">
        <v>545.42999999999995</v>
      </c>
      <c r="H21" s="193"/>
      <c r="I21" s="193">
        <v>545.42999999999995</v>
      </c>
      <c r="J21" s="226">
        <v>0</v>
      </c>
      <c r="K21" s="194"/>
      <c r="L21" s="194">
        <v>545.42999999999995</v>
      </c>
      <c r="M21" s="227">
        <v>0</v>
      </c>
    </row>
    <row r="22" spans="1:13" ht="15.75" thickBot="1" x14ac:dyDescent="0.3"/>
    <row r="23" spans="1:13" ht="16.5" thickBot="1" x14ac:dyDescent="0.3">
      <c r="A23" s="132"/>
      <c r="B23" s="134"/>
      <c r="C23" s="135" t="s">
        <v>105</v>
      </c>
      <c r="D23" s="133"/>
      <c r="E23" s="136"/>
      <c r="F23" s="137"/>
      <c r="G23" s="138">
        <f>SUBTOTAL(9,G13:G22)</f>
        <v>0</v>
      </c>
      <c r="H23" s="139"/>
      <c r="I23" s="139"/>
      <c r="J23" s="140">
        <f>SUBTOTAL(9,J11:J22)</f>
        <v>696224.22227999999</v>
      </c>
      <c r="K23" s="139"/>
      <c r="L23" s="139"/>
      <c r="M23" s="141">
        <f>SUBTOTAL(9,M11:M22)</f>
        <v>696226.76439999987</v>
      </c>
    </row>
    <row r="24" spans="1:13" ht="15.75" x14ac:dyDescent="0.25">
      <c r="A24" s="121"/>
      <c r="B24" s="142"/>
      <c r="C24" s="143"/>
      <c r="D24" s="144"/>
      <c r="E24" s="145"/>
      <c r="F24" s="125"/>
      <c r="G24" s="146"/>
      <c r="H24" s="147"/>
      <c r="I24" s="148"/>
      <c r="J24" s="149"/>
      <c r="K24" s="150"/>
      <c r="L24" s="150"/>
      <c r="M24" s="151"/>
    </row>
    <row r="25" spans="1:13" ht="15.75" x14ac:dyDescent="0.25">
      <c r="A25" s="123"/>
      <c r="B25" s="31" t="s">
        <v>18</v>
      </c>
      <c r="C25" s="35" t="s">
        <v>106</v>
      </c>
      <c r="D25" s="123"/>
      <c r="E25" s="152"/>
      <c r="F25" s="123"/>
      <c r="G25" s="35" t="s">
        <v>20</v>
      </c>
      <c r="H25" s="147"/>
      <c r="I25" s="153"/>
      <c r="J25" s="149"/>
      <c r="K25" s="36" t="s">
        <v>22</v>
      </c>
      <c r="L25" s="151"/>
      <c r="M25" s="151"/>
    </row>
    <row r="26" spans="1:13" ht="15.75" x14ac:dyDescent="0.25">
      <c r="A26" s="123"/>
      <c r="B26" s="31"/>
      <c r="C26" s="35"/>
      <c r="D26" s="123"/>
      <c r="E26" s="152"/>
      <c r="F26" s="123"/>
      <c r="G26" s="35"/>
      <c r="H26" s="147"/>
      <c r="I26" s="153"/>
      <c r="J26" s="149"/>
      <c r="K26" s="36"/>
      <c r="L26" s="151"/>
      <c r="M26" s="151"/>
    </row>
    <row r="27" spans="1:13" ht="15.75" x14ac:dyDescent="0.25">
      <c r="A27" s="123"/>
      <c r="B27" s="31" t="s">
        <v>19</v>
      </c>
      <c r="C27" s="31" t="s">
        <v>107</v>
      </c>
      <c r="D27" s="123"/>
      <c r="E27" s="152"/>
      <c r="F27" s="123"/>
      <c r="G27" s="31" t="s">
        <v>19</v>
      </c>
      <c r="H27" s="147"/>
      <c r="I27" s="153"/>
      <c r="J27" s="149"/>
      <c r="K27" s="31" t="s">
        <v>19</v>
      </c>
      <c r="L27" s="151"/>
      <c r="M27" s="151"/>
    </row>
  </sheetData>
  <mergeCells count="3">
    <mergeCell ref="E11:G11"/>
    <mergeCell ref="H11:J11"/>
    <mergeCell ref="K11:M11"/>
  </mergeCells>
  <conditionalFormatting sqref="AB1:AH1 A1:Z1">
    <cfRule type="cellIs" dxfId="13" priority="2" stopIfTrue="1" operator="lessThan">
      <formula>0</formula>
    </cfRule>
  </conditionalFormatting>
  <conditionalFormatting sqref="E3">
    <cfRule type="cellIs" dxfId="12" priority="1" stopIfTrue="1" operator="lessThan">
      <formula>0</formula>
    </cfRule>
  </conditionalFormatting>
  <pageMargins left="0.7" right="0.7" top="0.78740157499999996" bottom="0.78740157499999996" header="0.3" footer="0.3"/>
  <pageSetup paperSize="9" scale="7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069F9-95B1-46E3-8FBB-B3BE43DFA948}">
  <dimension ref="A1:AH22"/>
  <sheetViews>
    <sheetView view="pageBreakPreview" zoomScale="60" zoomScaleNormal="100" workbookViewId="0">
      <selection activeCell="I21" sqref="I21"/>
    </sheetView>
  </sheetViews>
  <sheetFormatPr defaultRowHeight="15" x14ac:dyDescent="0.25"/>
  <cols>
    <col min="3" max="3" width="35.140625" customWidth="1"/>
    <col min="4" max="4" width="6.7109375" customWidth="1"/>
    <col min="7" max="7" width="11.7109375" customWidth="1"/>
    <col min="9" max="9" width="10.42578125" customWidth="1"/>
    <col min="10" max="10" width="17" bestFit="1" customWidth="1"/>
    <col min="11" max="11" width="10.85546875" customWidth="1"/>
    <col min="12" max="12" width="11" customWidth="1"/>
    <col min="13" max="13" width="17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37"/>
      <c r="I1" s="37"/>
      <c r="J1" s="37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D2" s="2" t="s">
        <v>0</v>
      </c>
      <c r="E2" s="43" t="s">
        <v>359</v>
      </c>
      <c r="F2" s="44"/>
      <c r="G2" s="45"/>
      <c r="H2" s="46"/>
      <c r="I2" s="46"/>
      <c r="J2" s="46"/>
      <c r="K2" s="47"/>
      <c r="L2" s="47"/>
      <c r="M2" s="47"/>
      <c r="N2" s="46"/>
      <c r="O2" s="48"/>
      <c r="P2" s="49"/>
      <c r="Q2" s="48"/>
      <c r="R2" s="46"/>
      <c r="S2" s="47"/>
      <c r="T2" s="46"/>
      <c r="U2" s="47"/>
      <c r="V2" s="46"/>
      <c r="W2" s="47"/>
      <c r="X2" s="46"/>
      <c r="Y2" s="47"/>
      <c r="Z2" s="46"/>
      <c r="AA2" s="47"/>
      <c r="AB2" s="46"/>
      <c r="AC2" s="47"/>
      <c r="AD2" s="46"/>
      <c r="AE2" s="50"/>
      <c r="AF2" s="51"/>
      <c r="AG2" s="52"/>
      <c r="AH2" s="53"/>
    </row>
    <row r="3" spans="1:34" s="41" customFormat="1" ht="15.75" x14ac:dyDescent="0.25">
      <c r="A3" s="4"/>
      <c r="B3" s="42"/>
      <c r="D3" s="2" t="s">
        <v>2</v>
      </c>
      <c r="E3" s="3" t="s">
        <v>360</v>
      </c>
      <c r="F3" s="44"/>
      <c r="G3" s="45"/>
      <c r="H3" s="46"/>
      <c r="I3" s="46"/>
      <c r="J3" s="46"/>
      <c r="K3" s="47"/>
      <c r="L3" s="47"/>
      <c r="M3" s="47"/>
      <c r="N3" s="46"/>
      <c r="O3" s="48"/>
      <c r="P3" s="49"/>
      <c r="Q3" s="48"/>
      <c r="R3" s="46"/>
      <c r="S3" s="47"/>
      <c r="T3" s="46"/>
      <c r="U3" s="47"/>
      <c r="V3" s="46"/>
      <c r="W3" s="47"/>
      <c r="X3" s="46"/>
      <c r="Y3" s="47"/>
      <c r="Z3" s="46"/>
      <c r="AA3" s="47"/>
      <c r="AB3" s="46"/>
      <c r="AC3" s="47"/>
      <c r="AD3" s="46"/>
      <c r="AE3" s="50"/>
      <c r="AF3" s="51"/>
      <c r="AG3" s="52"/>
      <c r="AH3" s="53"/>
    </row>
    <row r="4" spans="1:34" s="41" customFormat="1" ht="15.75" x14ac:dyDescent="0.25">
      <c r="A4" s="4"/>
      <c r="B4" s="42"/>
      <c r="D4" s="54" t="s">
        <v>3</v>
      </c>
      <c r="E4" s="55" t="s">
        <v>23</v>
      </c>
      <c r="F4" s="44"/>
      <c r="G4" s="45"/>
      <c r="H4" s="46"/>
      <c r="I4" s="46"/>
      <c r="J4" s="46"/>
      <c r="K4" s="47"/>
      <c r="L4" s="47"/>
      <c r="M4" s="47"/>
      <c r="N4" s="46"/>
      <c r="O4" s="48"/>
      <c r="P4" s="49"/>
      <c r="Q4" s="48"/>
      <c r="R4" s="46"/>
      <c r="S4" s="47"/>
      <c r="T4" s="46"/>
      <c r="U4" s="47"/>
      <c r="V4" s="46"/>
      <c r="W4" s="47"/>
      <c r="X4" s="46"/>
      <c r="Y4" s="47"/>
      <c r="Z4" s="46"/>
      <c r="AA4" s="47"/>
      <c r="AB4" s="46"/>
      <c r="AC4" s="47"/>
      <c r="AD4" s="46"/>
      <c r="AE4" s="50"/>
      <c r="AF4" s="51"/>
      <c r="AG4" s="52"/>
      <c r="AH4" s="53"/>
    </row>
    <row r="5" spans="1:34" s="41" customFormat="1" ht="15.75" x14ac:dyDescent="0.25">
      <c r="A5" s="42"/>
      <c r="B5" s="42"/>
      <c r="D5" s="54" t="s">
        <v>5</v>
      </c>
      <c r="E5" s="55"/>
      <c r="F5" s="56"/>
      <c r="G5" s="45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1" customFormat="1" ht="15.75" x14ac:dyDescent="0.25">
      <c r="A6" s="42"/>
      <c r="B6" s="42"/>
      <c r="D6" s="2" t="s">
        <v>7</v>
      </c>
      <c r="E6" s="55" t="s">
        <v>24</v>
      </c>
      <c r="F6" s="56"/>
      <c r="G6" s="45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1" customFormat="1" ht="15.75" x14ac:dyDescent="0.25">
      <c r="A7" s="42"/>
      <c r="B7" s="42"/>
      <c r="D7" s="2" t="s">
        <v>9</v>
      </c>
      <c r="E7" s="65" t="s">
        <v>10</v>
      </c>
      <c r="F7" s="56"/>
      <c r="G7" s="45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8" spans="1:34" s="41" customFormat="1" ht="15.75" x14ac:dyDescent="0.25">
      <c r="A8" s="42"/>
      <c r="B8" s="42"/>
      <c r="D8" s="2"/>
      <c r="E8" s="65"/>
      <c r="F8" s="56"/>
      <c r="G8" s="45"/>
      <c r="H8" s="57"/>
      <c r="I8" s="57"/>
      <c r="J8" s="57"/>
      <c r="K8" s="58"/>
      <c r="L8" s="58"/>
      <c r="M8" s="58"/>
      <c r="N8" s="57"/>
      <c r="O8" s="59"/>
      <c r="P8" s="60"/>
      <c r="Q8" s="59"/>
      <c r="R8" s="57"/>
      <c r="S8" s="58"/>
      <c r="T8" s="57"/>
      <c r="U8" s="58"/>
      <c r="V8" s="57"/>
      <c r="W8" s="58"/>
      <c r="X8" s="57"/>
      <c r="Y8" s="58"/>
      <c r="Z8" s="57"/>
      <c r="AA8" s="58"/>
      <c r="AB8" s="57"/>
      <c r="AC8" s="58"/>
      <c r="AD8" s="57"/>
      <c r="AE8" s="61"/>
      <c r="AF8" s="62"/>
      <c r="AG8" s="63"/>
      <c r="AH8" s="64"/>
    </row>
    <row r="9" spans="1:34" s="41" customFormat="1" ht="18" x14ac:dyDescent="0.25">
      <c r="A9" s="42"/>
      <c r="B9" s="183" t="s">
        <v>373</v>
      </c>
      <c r="D9" s="2"/>
      <c r="E9" s="65"/>
      <c r="F9" s="56"/>
      <c r="G9" s="45"/>
      <c r="H9" s="57"/>
      <c r="I9" s="57"/>
      <c r="J9" s="57"/>
      <c r="K9" s="58"/>
      <c r="L9" s="58"/>
      <c r="M9" s="58"/>
      <c r="N9" s="57"/>
      <c r="O9" s="59"/>
      <c r="P9" s="60"/>
      <c r="Q9" s="59"/>
      <c r="R9" s="57"/>
      <c r="S9" s="58"/>
      <c r="T9" s="57"/>
      <c r="U9" s="58"/>
      <c r="V9" s="57"/>
      <c r="W9" s="58"/>
      <c r="X9" s="57"/>
      <c r="Y9" s="58"/>
      <c r="Z9" s="57"/>
      <c r="AA9" s="58"/>
      <c r="AB9" s="57"/>
      <c r="AC9" s="58"/>
      <c r="AD9" s="57"/>
      <c r="AE9" s="61"/>
      <c r="AF9" s="62"/>
      <c r="AG9" s="63"/>
      <c r="AH9" s="64"/>
    </row>
    <row r="12" spans="1:34" ht="15.75" x14ac:dyDescent="0.25">
      <c r="A12" s="192"/>
      <c r="B12" s="77"/>
      <c r="C12" s="75"/>
      <c r="D12" s="75"/>
      <c r="E12" s="265" t="s">
        <v>50</v>
      </c>
      <c r="F12" s="265"/>
      <c r="G12" s="265"/>
      <c r="H12" s="266" t="s">
        <v>51</v>
      </c>
      <c r="I12" s="266"/>
      <c r="J12" s="266"/>
      <c r="K12" s="267" t="s">
        <v>16</v>
      </c>
      <c r="L12" s="267"/>
      <c r="M12" s="267"/>
    </row>
    <row r="13" spans="1:34" ht="24" x14ac:dyDescent="0.25">
      <c r="A13" s="78" t="s">
        <v>52</v>
      </c>
      <c r="B13" s="78" t="s">
        <v>366</v>
      </c>
      <c r="C13" s="78" t="s">
        <v>53</v>
      </c>
      <c r="D13" s="79" t="s">
        <v>54</v>
      </c>
      <c r="E13" s="80" t="s">
        <v>55</v>
      </c>
      <c r="F13" s="81" t="s">
        <v>56</v>
      </c>
      <c r="G13" s="82" t="s">
        <v>57</v>
      </c>
      <c r="H13" s="83" t="s">
        <v>55</v>
      </c>
      <c r="I13" s="84" t="s">
        <v>58</v>
      </c>
      <c r="J13" s="85" t="s">
        <v>57</v>
      </c>
      <c r="K13" s="86" t="s">
        <v>55</v>
      </c>
      <c r="L13" s="87" t="s">
        <v>58</v>
      </c>
      <c r="M13" s="88" t="s">
        <v>59</v>
      </c>
    </row>
    <row r="14" spans="1:34" x14ac:dyDescent="0.25">
      <c r="A14" s="89"/>
      <c r="B14" s="90"/>
      <c r="C14" s="91"/>
      <c r="D14" s="91"/>
      <c r="E14" s="91"/>
      <c r="F14" s="92"/>
      <c r="G14" s="93"/>
      <c r="H14" s="94"/>
      <c r="I14" s="94"/>
      <c r="J14" s="94"/>
      <c r="K14" s="93"/>
      <c r="L14" s="93"/>
      <c r="M14" s="93"/>
    </row>
    <row r="15" spans="1:34" ht="30" x14ac:dyDescent="0.25">
      <c r="A15" s="184" t="s">
        <v>120</v>
      </c>
      <c r="B15" s="185" t="s">
        <v>151</v>
      </c>
      <c r="C15" s="190" t="s">
        <v>152</v>
      </c>
      <c r="D15" s="187" t="s">
        <v>153</v>
      </c>
      <c r="E15" s="188"/>
      <c r="F15" s="188"/>
      <c r="G15" s="188"/>
      <c r="H15" s="206">
        <v>90</v>
      </c>
      <c r="I15" s="206">
        <v>63.13</v>
      </c>
      <c r="J15" s="221">
        <v>5681.7</v>
      </c>
      <c r="K15" s="191">
        <v>90</v>
      </c>
      <c r="L15" s="191">
        <v>63.13</v>
      </c>
      <c r="M15" s="225">
        <v>5681.7</v>
      </c>
    </row>
    <row r="16" spans="1:34" ht="45" x14ac:dyDescent="0.25">
      <c r="A16" s="184" t="s">
        <v>120</v>
      </c>
      <c r="B16" s="185" t="s">
        <v>155</v>
      </c>
      <c r="C16" s="190" t="s">
        <v>156</v>
      </c>
      <c r="D16" s="187" t="s">
        <v>157</v>
      </c>
      <c r="E16" s="188"/>
      <c r="F16" s="188"/>
      <c r="G16" s="188"/>
      <c r="H16" s="206">
        <v>90</v>
      </c>
      <c r="I16" s="206">
        <v>195.97</v>
      </c>
      <c r="J16" s="221">
        <v>17637.3</v>
      </c>
      <c r="K16" s="191">
        <v>90</v>
      </c>
      <c r="L16" s="191">
        <v>195.97</v>
      </c>
      <c r="M16" s="225">
        <v>17637.3</v>
      </c>
    </row>
    <row r="17" spans="1:13" ht="15.75" thickBot="1" x14ac:dyDescent="0.3"/>
    <row r="18" spans="1:13" ht="16.5" thickBot="1" x14ac:dyDescent="0.3">
      <c r="A18" s="132"/>
      <c r="B18" s="134"/>
      <c r="C18" s="135" t="s">
        <v>105</v>
      </c>
      <c r="D18" s="133"/>
      <c r="E18" s="136"/>
      <c r="F18" s="137"/>
      <c r="G18" s="138">
        <f>SUBTOTAL(9,G8:G17)</f>
        <v>0</v>
      </c>
      <c r="H18" s="139"/>
      <c r="I18" s="139"/>
      <c r="J18" s="140">
        <f>SUBTOTAL(9,J6:J17)</f>
        <v>23319</v>
      </c>
      <c r="K18" s="139"/>
      <c r="L18" s="139"/>
      <c r="M18" s="141">
        <f>SUBTOTAL(9,M6:M17)</f>
        <v>23319</v>
      </c>
    </row>
    <row r="19" spans="1:13" ht="15.75" x14ac:dyDescent="0.25">
      <c r="A19" s="121"/>
      <c r="B19" s="142"/>
      <c r="C19" s="143"/>
      <c r="D19" s="144"/>
      <c r="E19" s="145"/>
      <c r="F19" s="125"/>
      <c r="G19" s="146"/>
      <c r="H19" s="147"/>
      <c r="I19" s="148"/>
      <c r="J19" s="149"/>
      <c r="K19" s="150"/>
      <c r="L19" s="150"/>
      <c r="M19" s="151"/>
    </row>
    <row r="20" spans="1:13" ht="15.75" x14ac:dyDescent="0.25">
      <c r="A20" s="123"/>
      <c r="B20" s="31" t="s">
        <v>18</v>
      </c>
      <c r="C20" s="35" t="s">
        <v>106</v>
      </c>
      <c r="D20" s="123"/>
      <c r="E20" s="152"/>
      <c r="F20" s="123"/>
      <c r="G20" s="35" t="s">
        <v>20</v>
      </c>
      <c r="H20" s="147"/>
      <c r="I20" s="153"/>
      <c r="J20" s="149"/>
      <c r="K20" s="36" t="s">
        <v>22</v>
      </c>
      <c r="L20" s="151"/>
      <c r="M20" s="151"/>
    </row>
    <row r="21" spans="1:13" ht="15.75" x14ac:dyDescent="0.25">
      <c r="A21" s="123"/>
      <c r="B21" s="31"/>
      <c r="C21" s="35"/>
      <c r="D21" s="123"/>
      <c r="E21" s="152"/>
      <c r="F21" s="123"/>
      <c r="G21" s="35"/>
      <c r="H21" s="147"/>
      <c r="I21" s="153"/>
      <c r="J21" s="149"/>
      <c r="K21" s="36"/>
      <c r="L21" s="151"/>
      <c r="M21" s="151"/>
    </row>
    <row r="22" spans="1:13" ht="15.75" x14ac:dyDescent="0.25">
      <c r="A22" s="123"/>
      <c r="B22" s="31" t="s">
        <v>19</v>
      </c>
      <c r="C22" s="31" t="s">
        <v>107</v>
      </c>
      <c r="D22" s="123"/>
      <c r="E22" s="152"/>
      <c r="F22" s="123"/>
      <c r="G22" s="31" t="s">
        <v>19</v>
      </c>
      <c r="H22" s="147"/>
      <c r="I22" s="153"/>
      <c r="J22" s="149"/>
      <c r="K22" s="31" t="s">
        <v>19</v>
      </c>
      <c r="L22" s="151"/>
      <c r="M22" s="151"/>
    </row>
  </sheetData>
  <mergeCells count="3">
    <mergeCell ref="E12:G12"/>
    <mergeCell ref="H12:J12"/>
    <mergeCell ref="K12:M12"/>
  </mergeCells>
  <conditionalFormatting sqref="AB1:AH1 A1:Z1">
    <cfRule type="cellIs" dxfId="11" priority="2" stopIfTrue="1" operator="lessThan">
      <formula>0</formula>
    </cfRule>
  </conditionalFormatting>
  <conditionalFormatting sqref="E3">
    <cfRule type="cellIs" dxfId="10" priority="1" stopIfTrue="1" operator="lessThan">
      <formula>0</formula>
    </cfRule>
  </conditionalFormatting>
  <pageMargins left="0.7" right="0.7" top="0.78740157499999996" bottom="0.78740157499999996" header="0.3" footer="0.3"/>
  <pageSetup paperSize="9" scale="7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3E3D4-DEA9-4F9E-9039-183F220FC2E3}">
  <dimension ref="A1:AH65"/>
  <sheetViews>
    <sheetView view="pageBreakPreview" topLeftCell="A36" zoomScale="60" zoomScaleNormal="100" workbookViewId="0">
      <selection activeCell="H26" sqref="H26"/>
    </sheetView>
  </sheetViews>
  <sheetFormatPr defaultRowHeight="15" x14ac:dyDescent="0.25"/>
  <cols>
    <col min="4" max="4" width="37.28515625" customWidth="1"/>
    <col min="7" max="7" width="10.85546875" customWidth="1"/>
    <col min="8" max="9" width="11.140625" customWidth="1"/>
    <col min="10" max="10" width="17" bestFit="1" customWidth="1"/>
    <col min="12" max="12" width="9.7109375" bestFit="1" customWidth="1"/>
    <col min="13" max="13" width="17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37"/>
      <c r="I1" s="37"/>
      <c r="J1" s="37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D2" s="2" t="s">
        <v>0</v>
      </c>
      <c r="E2" s="43" t="s">
        <v>359</v>
      </c>
      <c r="F2" s="44"/>
      <c r="G2" s="45"/>
      <c r="H2" s="46"/>
      <c r="I2" s="46"/>
      <c r="J2" s="46"/>
      <c r="K2" s="47"/>
      <c r="L2" s="47"/>
      <c r="M2" s="47"/>
      <c r="N2" s="46"/>
      <c r="O2" s="48"/>
      <c r="P2" s="49"/>
      <c r="Q2" s="48"/>
      <c r="R2" s="46"/>
      <c r="S2" s="47"/>
      <c r="T2" s="46"/>
      <c r="U2" s="47"/>
      <c r="V2" s="46"/>
      <c r="W2" s="47"/>
      <c r="X2" s="46"/>
      <c r="Y2" s="47"/>
      <c r="Z2" s="46"/>
      <c r="AA2" s="47"/>
      <c r="AB2" s="46"/>
      <c r="AC2" s="47"/>
      <c r="AD2" s="46"/>
      <c r="AE2" s="50"/>
      <c r="AF2" s="51"/>
      <c r="AG2" s="52"/>
      <c r="AH2" s="53"/>
    </row>
    <row r="3" spans="1:34" s="41" customFormat="1" ht="15.75" x14ac:dyDescent="0.25">
      <c r="A3" s="4"/>
      <c r="B3" s="42"/>
      <c r="D3" s="2" t="s">
        <v>2</v>
      </c>
      <c r="E3" s="3" t="s">
        <v>360</v>
      </c>
      <c r="F3" s="44"/>
      <c r="G3" s="45"/>
      <c r="H3" s="46"/>
      <c r="I3" s="46"/>
      <c r="J3" s="46"/>
      <c r="K3" s="47"/>
      <c r="L3" s="47"/>
      <c r="M3" s="47"/>
      <c r="N3" s="46"/>
      <c r="O3" s="48"/>
      <c r="P3" s="49"/>
      <c r="Q3" s="48"/>
      <c r="R3" s="46"/>
      <c r="S3" s="47"/>
      <c r="T3" s="46"/>
      <c r="U3" s="47"/>
      <c r="V3" s="46"/>
      <c r="W3" s="47"/>
      <c r="X3" s="46"/>
      <c r="Y3" s="47"/>
      <c r="Z3" s="46"/>
      <c r="AA3" s="47"/>
      <c r="AB3" s="46"/>
      <c r="AC3" s="47"/>
      <c r="AD3" s="46"/>
      <c r="AE3" s="50"/>
      <c r="AF3" s="51"/>
      <c r="AG3" s="52"/>
      <c r="AH3" s="53"/>
    </row>
    <row r="4" spans="1:34" s="41" customFormat="1" ht="15.75" x14ac:dyDescent="0.25">
      <c r="A4" s="4"/>
      <c r="B4" s="42"/>
      <c r="D4" s="54" t="s">
        <v>3</v>
      </c>
      <c r="E4" s="55" t="s">
        <v>23</v>
      </c>
      <c r="F4" s="44"/>
      <c r="G4" s="45"/>
      <c r="H4" s="46"/>
      <c r="I4" s="46"/>
      <c r="J4" s="46"/>
      <c r="K4" s="47"/>
      <c r="L4" s="47"/>
      <c r="M4" s="47"/>
      <c r="N4" s="46"/>
      <c r="O4" s="48"/>
      <c r="P4" s="49"/>
      <c r="Q4" s="48"/>
      <c r="R4" s="46"/>
      <c r="S4" s="47"/>
      <c r="T4" s="46"/>
      <c r="U4" s="47"/>
      <c r="V4" s="46"/>
      <c r="W4" s="47"/>
      <c r="X4" s="46"/>
      <c r="Y4" s="47"/>
      <c r="Z4" s="46"/>
      <c r="AA4" s="47"/>
      <c r="AB4" s="46"/>
      <c r="AC4" s="47"/>
      <c r="AD4" s="46"/>
      <c r="AE4" s="50"/>
      <c r="AF4" s="51"/>
      <c r="AG4" s="52"/>
      <c r="AH4" s="53"/>
    </row>
    <row r="5" spans="1:34" s="41" customFormat="1" ht="15.75" x14ac:dyDescent="0.25">
      <c r="A5" s="42"/>
      <c r="B5" s="42"/>
      <c r="D5" s="54" t="s">
        <v>5</v>
      </c>
      <c r="E5" s="55"/>
      <c r="F5" s="56"/>
      <c r="G5" s="45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1" customFormat="1" ht="15.75" x14ac:dyDescent="0.25">
      <c r="A6" s="42"/>
      <c r="B6" s="42"/>
      <c r="D6" s="2" t="s">
        <v>7</v>
      </c>
      <c r="E6" s="55" t="s">
        <v>24</v>
      </c>
      <c r="F6" s="56"/>
      <c r="G6" s="45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1" customFormat="1" ht="15.75" x14ac:dyDescent="0.25">
      <c r="A7" s="42"/>
      <c r="B7" s="42"/>
      <c r="D7" s="2" t="s">
        <v>9</v>
      </c>
      <c r="E7" s="65" t="s">
        <v>10</v>
      </c>
      <c r="F7" s="56"/>
      <c r="G7" s="45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8" spans="1:34" s="41" customFormat="1" ht="15.75" x14ac:dyDescent="0.25">
      <c r="A8" s="42"/>
      <c r="B8" s="42"/>
      <c r="D8" s="2"/>
      <c r="E8" s="65"/>
      <c r="F8" s="56"/>
      <c r="G8" s="45"/>
      <c r="H8" s="57"/>
      <c r="I8" s="57"/>
      <c r="J8" s="57"/>
      <c r="K8" s="58"/>
      <c r="L8" s="58"/>
      <c r="M8" s="58"/>
      <c r="N8" s="57"/>
      <c r="O8" s="59"/>
      <c r="P8" s="60"/>
      <c r="Q8" s="59"/>
      <c r="R8" s="57"/>
      <c r="S8" s="58"/>
      <c r="T8" s="57"/>
      <c r="U8" s="58"/>
      <c r="V8" s="57"/>
      <c r="W8" s="58"/>
      <c r="X8" s="57"/>
      <c r="Y8" s="58"/>
      <c r="Z8" s="57"/>
      <c r="AA8" s="58"/>
      <c r="AB8" s="57"/>
      <c r="AC8" s="58"/>
      <c r="AD8" s="57"/>
      <c r="AE8" s="61"/>
      <c r="AF8" s="62"/>
      <c r="AG8" s="63"/>
      <c r="AH8" s="64"/>
    </row>
    <row r="9" spans="1:34" ht="18" x14ac:dyDescent="0.25">
      <c r="B9" s="183" t="s">
        <v>361</v>
      </c>
    </row>
    <row r="10" spans="1:34" ht="18" x14ac:dyDescent="0.25">
      <c r="B10" s="183"/>
    </row>
    <row r="13" spans="1:34" ht="15.75" x14ac:dyDescent="0.25">
      <c r="A13" s="192"/>
      <c r="B13" s="77"/>
      <c r="C13" s="75"/>
      <c r="D13" s="75"/>
      <c r="E13" s="265" t="s">
        <v>50</v>
      </c>
      <c r="F13" s="265"/>
      <c r="G13" s="265"/>
      <c r="H13" s="266" t="s">
        <v>51</v>
      </c>
      <c r="I13" s="266"/>
      <c r="J13" s="266"/>
      <c r="K13" s="267" t="s">
        <v>16</v>
      </c>
      <c r="L13" s="267"/>
      <c r="M13" s="267"/>
    </row>
    <row r="14" spans="1:34" ht="24" x14ac:dyDescent="0.25">
      <c r="A14" s="78" t="s">
        <v>52</v>
      </c>
      <c r="B14" s="78" t="s">
        <v>366</v>
      </c>
      <c r="C14" s="78" t="s">
        <v>53</v>
      </c>
      <c r="D14" s="79" t="s">
        <v>54</v>
      </c>
      <c r="E14" s="80" t="s">
        <v>55</v>
      </c>
      <c r="F14" s="81" t="s">
        <v>56</v>
      </c>
      <c r="G14" s="82" t="s">
        <v>57</v>
      </c>
      <c r="H14" s="83" t="s">
        <v>55</v>
      </c>
      <c r="I14" s="84" t="s">
        <v>58</v>
      </c>
      <c r="J14" s="85" t="s">
        <v>57</v>
      </c>
      <c r="K14" s="86" t="s">
        <v>55</v>
      </c>
      <c r="L14" s="87" t="s">
        <v>58</v>
      </c>
      <c r="M14" s="88" t="s">
        <v>59</v>
      </c>
    </row>
    <row r="15" spans="1:34" x14ac:dyDescent="0.25">
      <c r="A15" s="89"/>
      <c r="B15" s="90"/>
      <c r="C15" s="91"/>
      <c r="D15" s="91"/>
      <c r="E15" s="91"/>
      <c r="F15" s="92"/>
      <c r="G15" s="93"/>
      <c r="H15" s="94"/>
      <c r="I15" s="94"/>
      <c r="J15" s="94"/>
      <c r="K15" s="93"/>
      <c r="L15" s="93"/>
      <c r="M15" s="93"/>
    </row>
    <row r="16" spans="1:34" x14ac:dyDescent="0.25">
      <c r="A16" s="208"/>
      <c r="B16" s="209" t="s">
        <v>166</v>
      </c>
      <c r="C16" s="210" t="s">
        <v>60</v>
      </c>
      <c r="D16" s="211" t="s">
        <v>61</v>
      </c>
      <c r="E16" s="212"/>
      <c r="F16" s="215"/>
      <c r="G16" s="215"/>
      <c r="H16" s="213"/>
      <c r="I16" s="213"/>
      <c r="J16" s="213"/>
      <c r="K16" s="215"/>
      <c r="L16" s="215"/>
      <c r="M16" s="215"/>
    </row>
    <row r="17" spans="1:13" ht="30" x14ac:dyDescent="0.25">
      <c r="A17" s="214" t="s">
        <v>60</v>
      </c>
      <c r="B17" s="184" t="s">
        <v>166</v>
      </c>
      <c r="C17" s="185" t="s">
        <v>167</v>
      </c>
      <c r="D17" s="190" t="s">
        <v>168</v>
      </c>
      <c r="E17" s="187" t="s">
        <v>143</v>
      </c>
      <c r="F17" s="188"/>
      <c r="G17" s="188"/>
      <c r="H17" s="206">
        <v>14.3</v>
      </c>
      <c r="I17" s="206">
        <v>23.67</v>
      </c>
      <c r="J17" s="221">
        <f>H17*I17</f>
        <v>338.48100000000005</v>
      </c>
      <c r="K17" s="256">
        <f>H17</f>
        <v>14.3</v>
      </c>
      <c r="L17" s="256">
        <f>I17</f>
        <v>23.67</v>
      </c>
      <c r="M17" s="257">
        <f>K17*L17</f>
        <v>338.48100000000005</v>
      </c>
    </row>
    <row r="18" spans="1:13" ht="30" x14ac:dyDescent="0.25">
      <c r="A18" s="214" t="s">
        <v>169</v>
      </c>
      <c r="B18" s="184" t="s">
        <v>166</v>
      </c>
      <c r="C18" s="185" t="s">
        <v>146</v>
      </c>
      <c r="D18" s="190" t="s">
        <v>147</v>
      </c>
      <c r="E18" s="187" t="s">
        <v>143</v>
      </c>
      <c r="F18" s="188"/>
      <c r="G18" s="188"/>
      <c r="H18" s="206">
        <v>14.3</v>
      </c>
      <c r="I18" s="206">
        <v>26.3</v>
      </c>
      <c r="J18" s="221">
        <f t="shared" ref="J18:J35" si="0">H18*I18</f>
        <v>376.09000000000003</v>
      </c>
      <c r="K18" s="256">
        <f t="shared" ref="K18:K59" si="1">H18</f>
        <v>14.3</v>
      </c>
      <c r="L18" s="256">
        <f t="shared" ref="L18:L59" si="2">I18</f>
        <v>26.3</v>
      </c>
      <c r="M18" s="257">
        <f t="shared" ref="M18:M59" si="3">K18*L18</f>
        <v>376.09000000000003</v>
      </c>
    </row>
    <row r="19" spans="1:13" ht="30" x14ac:dyDescent="0.25">
      <c r="A19" s="214" t="s">
        <v>170</v>
      </c>
      <c r="B19" s="184" t="s">
        <v>166</v>
      </c>
      <c r="C19" s="185" t="s">
        <v>171</v>
      </c>
      <c r="D19" s="190" t="s">
        <v>172</v>
      </c>
      <c r="E19" s="187" t="s">
        <v>143</v>
      </c>
      <c r="F19" s="188"/>
      <c r="G19" s="188"/>
      <c r="H19" s="206">
        <v>14.3</v>
      </c>
      <c r="I19" s="206">
        <v>77.599999999999994</v>
      </c>
      <c r="J19" s="221">
        <f t="shared" si="0"/>
        <v>1109.68</v>
      </c>
      <c r="K19" s="256">
        <f t="shared" si="1"/>
        <v>14.3</v>
      </c>
      <c r="L19" s="256">
        <f t="shared" si="2"/>
        <v>77.599999999999994</v>
      </c>
      <c r="M19" s="257">
        <f t="shared" si="3"/>
        <v>1109.68</v>
      </c>
    </row>
    <row r="20" spans="1:13" ht="30" x14ac:dyDescent="0.25">
      <c r="A20" s="214" t="s">
        <v>173</v>
      </c>
      <c r="B20" s="184" t="s">
        <v>166</v>
      </c>
      <c r="C20" s="185" t="s">
        <v>174</v>
      </c>
      <c r="D20" s="190" t="s">
        <v>175</v>
      </c>
      <c r="E20" s="187" t="s">
        <v>143</v>
      </c>
      <c r="F20" s="188"/>
      <c r="G20" s="188"/>
      <c r="H20" s="206">
        <v>35.700000000000003</v>
      </c>
      <c r="I20" s="206">
        <v>55.24</v>
      </c>
      <c r="J20" s="221">
        <f t="shared" si="0"/>
        <v>1972.0680000000002</v>
      </c>
      <c r="K20" s="256">
        <f t="shared" si="1"/>
        <v>35.700000000000003</v>
      </c>
      <c r="L20" s="256">
        <f t="shared" si="2"/>
        <v>55.24</v>
      </c>
      <c r="M20" s="257">
        <f t="shared" si="3"/>
        <v>1972.0680000000002</v>
      </c>
    </row>
    <row r="21" spans="1:13" ht="30" x14ac:dyDescent="0.25">
      <c r="A21" s="214" t="s">
        <v>176</v>
      </c>
      <c r="B21" s="184" t="s">
        <v>166</v>
      </c>
      <c r="C21" s="185" t="s">
        <v>177</v>
      </c>
      <c r="D21" s="190" t="s">
        <v>178</v>
      </c>
      <c r="E21" s="187" t="s">
        <v>76</v>
      </c>
      <c r="F21" s="188"/>
      <c r="G21" s="188"/>
      <c r="H21" s="206">
        <v>2.2880000000000003</v>
      </c>
      <c r="I21" s="206">
        <v>257.77999999999997</v>
      </c>
      <c r="J21" s="221">
        <f t="shared" si="0"/>
        <v>589.80064000000004</v>
      </c>
      <c r="K21" s="256">
        <f t="shared" si="1"/>
        <v>2.2880000000000003</v>
      </c>
      <c r="L21" s="256">
        <f t="shared" si="2"/>
        <v>257.77999999999997</v>
      </c>
      <c r="M21" s="257">
        <f t="shared" si="3"/>
        <v>589.80064000000004</v>
      </c>
    </row>
    <row r="22" spans="1:13" ht="30" x14ac:dyDescent="0.25">
      <c r="A22" s="214" t="s">
        <v>154</v>
      </c>
      <c r="B22" s="184" t="s">
        <v>166</v>
      </c>
      <c r="C22" s="185" t="s">
        <v>64</v>
      </c>
      <c r="D22" s="190" t="s">
        <v>65</v>
      </c>
      <c r="E22" s="187" t="s">
        <v>76</v>
      </c>
      <c r="F22" s="188"/>
      <c r="G22" s="188"/>
      <c r="H22" s="206">
        <v>22.880000000000003</v>
      </c>
      <c r="I22" s="206">
        <v>257.77999999999997</v>
      </c>
      <c r="J22" s="221">
        <f t="shared" si="0"/>
        <v>5898.0064000000002</v>
      </c>
      <c r="K22" s="256">
        <f t="shared" si="1"/>
        <v>22.880000000000003</v>
      </c>
      <c r="L22" s="256">
        <f t="shared" si="2"/>
        <v>257.77999999999997</v>
      </c>
      <c r="M22" s="257">
        <f t="shared" si="3"/>
        <v>5898.0064000000002</v>
      </c>
    </row>
    <row r="23" spans="1:13" ht="30" x14ac:dyDescent="0.25">
      <c r="A23" s="214" t="s">
        <v>179</v>
      </c>
      <c r="B23" s="184" t="s">
        <v>166</v>
      </c>
      <c r="C23" s="185" t="s">
        <v>180</v>
      </c>
      <c r="D23" s="190" t="s">
        <v>181</v>
      </c>
      <c r="E23" s="187" t="s">
        <v>76</v>
      </c>
      <c r="F23" s="188"/>
      <c r="G23" s="188"/>
      <c r="H23" s="206">
        <v>22.880000000000003</v>
      </c>
      <c r="I23" s="206">
        <v>13.15</v>
      </c>
      <c r="J23" s="221">
        <f t="shared" si="0"/>
        <v>300.87200000000001</v>
      </c>
      <c r="K23" s="256">
        <f t="shared" si="1"/>
        <v>22.880000000000003</v>
      </c>
      <c r="L23" s="256">
        <f t="shared" si="2"/>
        <v>13.15</v>
      </c>
      <c r="M23" s="257">
        <f t="shared" si="3"/>
        <v>300.87200000000001</v>
      </c>
    </row>
    <row r="24" spans="1:13" ht="30" x14ac:dyDescent="0.25">
      <c r="A24" s="214" t="s">
        <v>165</v>
      </c>
      <c r="B24" s="184" t="s">
        <v>166</v>
      </c>
      <c r="C24" s="185" t="s">
        <v>161</v>
      </c>
      <c r="D24" s="190" t="s">
        <v>162</v>
      </c>
      <c r="E24" s="187" t="s">
        <v>143</v>
      </c>
      <c r="F24" s="188"/>
      <c r="G24" s="188"/>
      <c r="H24" s="206">
        <v>41.603999999999999</v>
      </c>
      <c r="I24" s="206">
        <v>99.96</v>
      </c>
      <c r="J24" s="221">
        <f t="shared" si="0"/>
        <v>4158.7358399999994</v>
      </c>
      <c r="K24" s="256">
        <f t="shared" si="1"/>
        <v>41.603999999999999</v>
      </c>
      <c r="L24" s="256">
        <f t="shared" si="2"/>
        <v>99.96</v>
      </c>
      <c r="M24" s="257">
        <f t="shared" si="3"/>
        <v>4158.7358399999994</v>
      </c>
    </row>
    <row r="25" spans="1:13" ht="30" x14ac:dyDescent="0.25">
      <c r="A25" s="214" t="s">
        <v>182</v>
      </c>
      <c r="B25" s="184" t="s">
        <v>166</v>
      </c>
      <c r="C25" s="185" t="s">
        <v>183</v>
      </c>
      <c r="D25" s="190" t="s">
        <v>184</v>
      </c>
      <c r="E25" s="187" t="s">
        <v>143</v>
      </c>
      <c r="F25" s="188"/>
      <c r="G25" s="188"/>
      <c r="H25" s="206">
        <v>41.600240100000001</v>
      </c>
      <c r="I25" s="206">
        <v>149.94</v>
      </c>
      <c r="J25" s="221">
        <f t="shared" si="0"/>
        <v>6237.540000594</v>
      </c>
      <c r="K25" s="256">
        <f t="shared" si="1"/>
        <v>41.600240100000001</v>
      </c>
      <c r="L25" s="256">
        <f t="shared" si="2"/>
        <v>149.94</v>
      </c>
      <c r="M25" s="257">
        <f t="shared" si="3"/>
        <v>6237.540000594</v>
      </c>
    </row>
    <row r="26" spans="1:13" ht="30" x14ac:dyDescent="0.25">
      <c r="A26" s="214" t="s">
        <v>97</v>
      </c>
      <c r="B26" s="184" t="s">
        <v>166</v>
      </c>
      <c r="C26" s="185" t="s">
        <v>185</v>
      </c>
      <c r="D26" s="190" t="s">
        <v>186</v>
      </c>
      <c r="E26" s="187" t="s">
        <v>76</v>
      </c>
      <c r="F26" s="188"/>
      <c r="G26" s="188"/>
      <c r="H26" s="206">
        <v>22.880000000000003</v>
      </c>
      <c r="I26" s="206">
        <v>13.15</v>
      </c>
      <c r="J26" s="221">
        <f t="shared" si="0"/>
        <v>300.87200000000001</v>
      </c>
      <c r="K26" s="256">
        <f t="shared" si="1"/>
        <v>22.880000000000003</v>
      </c>
      <c r="L26" s="256">
        <f t="shared" si="2"/>
        <v>13.15</v>
      </c>
      <c r="M26" s="257">
        <f t="shared" si="3"/>
        <v>300.87200000000001</v>
      </c>
    </row>
    <row r="27" spans="1:13" ht="30" x14ac:dyDescent="0.25">
      <c r="A27" s="214" t="s">
        <v>73</v>
      </c>
      <c r="B27" s="184" t="s">
        <v>166</v>
      </c>
      <c r="C27" s="185" t="s">
        <v>92</v>
      </c>
      <c r="D27" s="190" t="s">
        <v>93</v>
      </c>
      <c r="E27" s="187" t="s">
        <v>76</v>
      </c>
      <c r="F27" s="188"/>
      <c r="G27" s="188"/>
      <c r="H27" s="206">
        <v>16.016000000000002</v>
      </c>
      <c r="I27" s="206">
        <v>44.72</v>
      </c>
      <c r="J27" s="221">
        <f t="shared" si="0"/>
        <v>716.23552000000007</v>
      </c>
      <c r="K27" s="256">
        <f t="shared" si="1"/>
        <v>16.016000000000002</v>
      </c>
      <c r="L27" s="256">
        <f t="shared" si="2"/>
        <v>44.72</v>
      </c>
      <c r="M27" s="257">
        <f t="shared" si="3"/>
        <v>716.23552000000007</v>
      </c>
    </row>
    <row r="28" spans="1:13" ht="30" x14ac:dyDescent="0.25">
      <c r="A28" s="214" t="s">
        <v>79</v>
      </c>
      <c r="B28" s="184" t="s">
        <v>166</v>
      </c>
      <c r="C28" s="185" t="s">
        <v>92</v>
      </c>
      <c r="D28" s="190" t="s">
        <v>93</v>
      </c>
      <c r="E28" s="187" t="s">
        <v>76</v>
      </c>
      <c r="F28" s="188"/>
      <c r="G28" s="188"/>
      <c r="H28" s="206">
        <v>6.8640000000000008</v>
      </c>
      <c r="I28" s="206">
        <v>44.72</v>
      </c>
      <c r="J28" s="221">
        <f t="shared" si="0"/>
        <v>306.95808000000005</v>
      </c>
      <c r="K28" s="256">
        <f t="shared" si="1"/>
        <v>6.8640000000000008</v>
      </c>
      <c r="L28" s="256">
        <f t="shared" si="2"/>
        <v>44.72</v>
      </c>
      <c r="M28" s="257">
        <f t="shared" si="3"/>
        <v>306.95808000000005</v>
      </c>
    </row>
    <row r="29" spans="1:13" x14ac:dyDescent="0.25">
      <c r="A29" s="214" t="s">
        <v>83</v>
      </c>
      <c r="B29" s="184" t="s">
        <v>166</v>
      </c>
      <c r="C29" s="185" t="s">
        <v>187</v>
      </c>
      <c r="D29" s="190" t="s">
        <v>188</v>
      </c>
      <c r="E29" s="187" t="s">
        <v>76</v>
      </c>
      <c r="F29" s="188"/>
      <c r="G29" s="188"/>
      <c r="H29" s="206">
        <v>6.8640000000000008</v>
      </c>
      <c r="I29" s="206">
        <v>11.84</v>
      </c>
      <c r="J29" s="221">
        <f t="shared" si="0"/>
        <v>81.269760000000005</v>
      </c>
      <c r="K29" s="256">
        <f t="shared" si="1"/>
        <v>6.8640000000000008</v>
      </c>
      <c r="L29" s="256">
        <f t="shared" si="2"/>
        <v>11.84</v>
      </c>
      <c r="M29" s="257">
        <f t="shared" si="3"/>
        <v>81.269760000000005</v>
      </c>
    </row>
    <row r="30" spans="1:13" ht="30" x14ac:dyDescent="0.25">
      <c r="A30" s="214" t="s">
        <v>189</v>
      </c>
      <c r="B30" s="184" t="s">
        <v>166</v>
      </c>
      <c r="C30" s="185" t="s">
        <v>190</v>
      </c>
      <c r="D30" s="190" t="s">
        <v>191</v>
      </c>
      <c r="E30" s="187" t="s">
        <v>192</v>
      </c>
      <c r="F30" s="188"/>
      <c r="G30" s="188"/>
      <c r="H30" s="206">
        <v>13.728000000000002</v>
      </c>
      <c r="I30" s="206">
        <v>116</v>
      </c>
      <c r="J30" s="221">
        <f t="shared" si="0"/>
        <v>1592.4480000000001</v>
      </c>
      <c r="K30" s="256">
        <f t="shared" si="1"/>
        <v>13.728000000000002</v>
      </c>
      <c r="L30" s="256">
        <f t="shared" si="2"/>
        <v>116</v>
      </c>
      <c r="M30" s="257">
        <f t="shared" si="3"/>
        <v>1592.4480000000001</v>
      </c>
    </row>
    <row r="31" spans="1:13" ht="30" x14ac:dyDescent="0.25">
      <c r="A31" s="214" t="s">
        <v>193</v>
      </c>
      <c r="B31" s="184" t="s">
        <v>166</v>
      </c>
      <c r="C31" s="185" t="s">
        <v>194</v>
      </c>
      <c r="D31" s="190" t="s">
        <v>195</v>
      </c>
      <c r="E31" s="187" t="s">
        <v>76</v>
      </c>
      <c r="F31" s="188"/>
      <c r="G31" s="188"/>
      <c r="H31" s="206">
        <v>16.016000000000002</v>
      </c>
      <c r="I31" s="206">
        <v>286.72000000000003</v>
      </c>
      <c r="J31" s="221">
        <f t="shared" si="0"/>
        <v>4592.1075200000014</v>
      </c>
      <c r="K31" s="256">
        <f t="shared" si="1"/>
        <v>16.016000000000002</v>
      </c>
      <c r="L31" s="256">
        <f t="shared" si="2"/>
        <v>286.72000000000003</v>
      </c>
      <c r="M31" s="257">
        <f t="shared" si="3"/>
        <v>4592.1075200000014</v>
      </c>
    </row>
    <row r="32" spans="1:13" ht="30" x14ac:dyDescent="0.25">
      <c r="A32" s="214" t="s">
        <v>69</v>
      </c>
      <c r="B32" s="184" t="s">
        <v>166</v>
      </c>
      <c r="C32" s="185" t="s">
        <v>196</v>
      </c>
      <c r="D32" s="190" t="s">
        <v>197</v>
      </c>
      <c r="E32" s="187" t="s">
        <v>76</v>
      </c>
      <c r="F32" s="188"/>
      <c r="G32" s="188"/>
      <c r="H32" s="206">
        <v>5.4340000000000002</v>
      </c>
      <c r="I32" s="206">
        <v>318.27999999999997</v>
      </c>
      <c r="J32" s="221">
        <f t="shared" si="0"/>
        <v>1729.53352</v>
      </c>
      <c r="K32" s="256">
        <f t="shared" si="1"/>
        <v>5.4340000000000002</v>
      </c>
      <c r="L32" s="256">
        <f t="shared" si="2"/>
        <v>318.27999999999997</v>
      </c>
      <c r="M32" s="257">
        <f t="shared" si="3"/>
        <v>1729.53352</v>
      </c>
    </row>
    <row r="33" spans="1:13" ht="30" x14ac:dyDescent="0.25">
      <c r="A33" s="214" t="s">
        <v>198</v>
      </c>
      <c r="B33" s="184" t="s">
        <v>166</v>
      </c>
      <c r="C33" s="185" t="s">
        <v>199</v>
      </c>
      <c r="D33" s="190" t="s">
        <v>102</v>
      </c>
      <c r="E33" s="187" t="s">
        <v>76</v>
      </c>
      <c r="F33" s="188"/>
      <c r="G33" s="188"/>
      <c r="H33" s="206">
        <v>22.880000000000003</v>
      </c>
      <c r="I33" s="206">
        <v>80.23</v>
      </c>
      <c r="J33" s="221">
        <f t="shared" si="0"/>
        <v>1835.6624000000004</v>
      </c>
      <c r="K33" s="256">
        <f t="shared" si="1"/>
        <v>22.880000000000003</v>
      </c>
      <c r="L33" s="256">
        <f t="shared" si="2"/>
        <v>80.23</v>
      </c>
      <c r="M33" s="257">
        <f t="shared" si="3"/>
        <v>1835.6624000000004</v>
      </c>
    </row>
    <row r="34" spans="1:13" ht="30" x14ac:dyDescent="0.25">
      <c r="A34" s="214" t="s">
        <v>200</v>
      </c>
      <c r="B34" s="184" t="s">
        <v>166</v>
      </c>
      <c r="C34" s="185" t="s">
        <v>201</v>
      </c>
      <c r="D34" s="190" t="s">
        <v>102</v>
      </c>
      <c r="E34" s="187" t="s">
        <v>76</v>
      </c>
      <c r="F34" s="188"/>
      <c r="G34" s="188"/>
      <c r="H34" s="206">
        <v>16.016000000000002</v>
      </c>
      <c r="I34" s="206">
        <v>124.95</v>
      </c>
      <c r="J34" s="221">
        <f t="shared" si="0"/>
        <v>2001.1992000000002</v>
      </c>
      <c r="K34" s="256">
        <f t="shared" si="1"/>
        <v>16.016000000000002</v>
      </c>
      <c r="L34" s="256">
        <f t="shared" si="2"/>
        <v>124.95</v>
      </c>
      <c r="M34" s="257">
        <f t="shared" si="3"/>
        <v>2001.1992000000002</v>
      </c>
    </row>
    <row r="35" spans="1:13" ht="30" x14ac:dyDescent="0.25">
      <c r="A35" s="214" t="s">
        <v>202</v>
      </c>
      <c r="B35" s="184" t="s">
        <v>166</v>
      </c>
      <c r="C35" s="185" t="s">
        <v>101</v>
      </c>
      <c r="D35" s="190" t="s">
        <v>102</v>
      </c>
      <c r="E35" s="187" t="s">
        <v>76</v>
      </c>
      <c r="F35" s="188"/>
      <c r="G35" s="188"/>
      <c r="H35" s="206">
        <v>6.8640000000000008</v>
      </c>
      <c r="I35" s="206">
        <v>247.39</v>
      </c>
      <c r="J35" s="221">
        <f t="shared" si="0"/>
        <v>1698.0849600000001</v>
      </c>
      <c r="K35" s="256">
        <f t="shared" si="1"/>
        <v>6.8640000000000008</v>
      </c>
      <c r="L35" s="256">
        <f t="shared" si="2"/>
        <v>247.39</v>
      </c>
      <c r="M35" s="257">
        <f t="shared" si="3"/>
        <v>1698.0849600000001</v>
      </c>
    </row>
    <row r="36" spans="1:13" x14ac:dyDescent="0.25">
      <c r="A36" s="217"/>
      <c r="B36" s="218" t="s">
        <v>166</v>
      </c>
      <c r="C36" s="219" t="s">
        <v>203</v>
      </c>
      <c r="D36" s="220" t="s">
        <v>204</v>
      </c>
      <c r="E36" s="212"/>
      <c r="F36" s="215"/>
      <c r="G36" s="215"/>
      <c r="H36" s="216"/>
      <c r="I36" s="216"/>
      <c r="J36" s="223"/>
      <c r="K36" s="256">
        <f t="shared" si="1"/>
        <v>0</v>
      </c>
      <c r="L36" s="256">
        <f t="shared" si="2"/>
        <v>0</v>
      </c>
      <c r="M36" s="257">
        <f t="shared" si="3"/>
        <v>0</v>
      </c>
    </row>
    <row r="37" spans="1:13" ht="30" x14ac:dyDescent="0.25">
      <c r="A37" s="214" t="s">
        <v>124</v>
      </c>
      <c r="B37" s="184" t="s">
        <v>166</v>
      </c>
      <c r="C37" s="185" t="s">
        <v>205</v>
      </c>
      <c r="D37" s="190" t="s">
        <v>206</v>
      </c>
      <c r="E37" s="187" t="s">
        <v>76</v>
      </c>
      <c r="F37" s="188"/>
      <c r="G37" s="188"/>
      <c r="H37" s="206">
        <v>1.4300000000000002</v>
      </c>
      <c r="I37" s="206">
        <v>644.70000000000005</v>
      </c>
      <c r="J37" s="221">
        <v>921.92100000000016</v>
      </c>
      <c r="K37" s="256">
        <f t="shared" si="1"/>
        <v>1.4300000000000002</v>
      </c>
      <c r="L37" s="256">
        <f t="shared" si="2"/>
        <v>644.70000000000005</v>
      </c>
      <c r="M37" s="257">
        <f t="shared" si="3"/>
        <v>921.92100000000016</v>
      </c>
    </row>
    <row r="38" spans="1:13" x14ac:dyDescent="0.25">
      <c r="A38" s="217"/>
      <c r="B38" s="218" t="s">
        <v>166</v>
      </c>
      <c r="C38" s="219" t="s">
        <v>173</v>
      </c>
      <c r="D38" s="220" t="s">
        <v>207</v>
      </c>
      <c r="E38" s="212"/>
      <c r="F38" s="215"/>
      <c r="G38" s="215"/>
      <c r="H38" s="216"/>
      <c r="I38" s="216"/>
      <c r="J38" s="223"/>
      <c r="K38" s="256">
        <f t="shared" si="1"/>
        <v>0</v>
      </c>
      <c r="L38" s="256">
        <f t="shared" si="2"/>
        <v>0</v>
      </c>
      <c r="M38" s="257">
        <f t="shared" si="3"/>
        <v>0</v>
      </c>
    </row>
    <row r="39" spans="1:13" ht="30" x14ac:dyDescent="0.25">
      <c r="A39" s="214" t="s">
        <v>208</v>
      </c>
      <c r="B39" s="184" t="s">
        <v>166</v>
      </c>
      <c r="C39" s="185" t="s">
        <v>209</v>
      </c>
      <c r="D39" s="190" t="s">
        <v>210</v>
      </c>
      <c r="E39" s="187" t="s">
        <v>143</v>
      </c>
      <c r="F39" s="188"/>
      <c r="G39" s="188"/>
      <c r="H39" s="206">
        <v>14.3</v>
      </c>
      <c r="I39" s="206">
        <v>82.86</v>
      </c>
      <c r="J39" s="221">
        <v>1184.8980000000001</v>
      </c>
      <c r="K39" s="256">
        <f t="shared" si="1"/>
        <v>14.3</v>
      </c>
      <c r="L39" s="256">
        <f t="shared" si="2"/>
        <v>82.86</v>
      </c>
      <c r="M39" s="257">
        <f t="shared" si="3"/>
        <v>1184.8980000000001</v>
      </c>
    </row>
    <row r="40" spans="1:13" x14ac:dyDescent="0.25">
      <c r="A40" s="214" t="s">
        <v>126</v>
      </c>
      <c r="B40" s="184" t="s">
        <v>166</v>
      </c>
      <c r="C40" s="185" t="s">
        <v>211</v>
      </c>
      <c r="D40" s="190" t="s">
        <v>212</v>
      </c>
      <c r="E40" s="187" t="s">
        <v>143</v>
      </c>
      <c r="F40" s="188"/>
      <c r="G40" s="188"/>
      <c r="H40" s="206">
        <v>14.3</v>
      </c>
      <c r="I40" s="206">
        <v>302.54000000000002</v>
      </c>
      <c r="J40" s="221">
        <v>4326.3220000000001</v>
      </c>
      <c r="K40" s="256">
        <f t="shared" si="1"/>
        <v>14.3</v>
      </c>
      <c r="L40" s="256">
        <f t="shared" si="2"/>
        <v>302.54000000000002</v>
      </c>
      <c r="M40" s="257">
        <f t="shared" si="3"/>
        <v>4326.3220000000001</v>
      </c>
    </row>
    <row r="41" spans="1:13" x14ac:dyDescent="0.25">
      <c r="A41" s="217"/>
      <c r="B41" s="218" t="s">
        <v>166</v>
      </c>
      <c r="C41" s="219" t="s">
        <v>213</v>
      </c>
      <c r="D41" s="220" t="s">
        <v>214</v>
      </c>
      <c r="E41" s="212"/>
      <c r="F41" s="215"/>
      <c r="G41" s="215"/>
      <c r="H41" s="216"/>
      <c r="I41" s="216"/>
      <c r="J41" s="223"/>
      <c r="K41" s="256">
        <f t="shared" si="1"/>
        <v>0</v>
      </c>
      <c r="L41" s="256">
        <f t="shared" si="2"/>
        <v>0</v>
      </c>
      <c r="M41" s="257">
        <f t="shared" si="3"/>
        <v>0</v>
      </c>
    </row>
    <row r="42" spans="1:13" x14ac:dyDescent="0.25">
      <c r="A42" s="217"/>
      <c r="B42" s="218" t="s">
        <v>166</v>
      </c>
      <c r="C42" s="219" t="s">
        <v>62</v>
      </c>
      <c r="D42" s="220" t="s">
        <v>215</v>
      </c>
      <c r="E42" s="212"/>
      <c r="F42" s="215"/>
      <c r="G42" s="215"/>
      <c r="H42" s="216"/>
      <c r="I42" s="216"/>
      <c r="J42" s="223"/>
      <c r="K42" s="256">
        <f t="shared" si="1"/>
        <v>0</v>
      </c>
      <c r="L42" s="256">
        <f t="shared" si="2"/>
        <v>0</v>
      </c>
      <c r="M42" s="257">
        <f t="shared" si="3"/>
        <v>0</v>
      </c>
    </row>
    <row r="43" spans="1:13" ht="45" x14ac:dyDescent="0.25">
      <c r="A43" s="214" t="s">
        <v>216</v>
      </c>
      <c r="B43" s="184" t="s">
        <v>166</v>
      </c>
      <c r="C43" s="185" t="s">
        <v>217</v>
      </c>
      <c r="D43" s="190" t="s">
        <v>218</v>
      </c>
      <c r="E43" s="187" t="s">
        <v>219</v>
      </c>
      <c r="F43" s="188"/>
      <c r="G43" s="188"/>
      <c r="H43" s="206">
        <v>13</v>
      </c>
      <c r="I43" s="206">
        <v>220.96</v>
      </c>
      <c r="J43" s="221">
        <v>2872.48</v>
      </c>
      <c r="K43" s="256">
        <f t="shared" si="1"/>
        <v>13</v>
      </c>
      <c r="L43" s="256">
        <f t="shared" si="2"/>
        <v>220.96</v>
      </c>
      <c r="M43" s="257">
        <f t="shared" si="3"/>
        <v>2872.48</v>
      </c>
    </row>
    <row r="44" spans="1:13" ht="45" x14ac:dyDescent="0.25">
      <c r="A44" s="214"/>
      <c r="B44" s="184" t="s">
        <v>63</v>
      </c>
      <c r="C44" s="185" t="s">
        <v>220</v>
      </c>
      <c r="D44" s="190" t="s">
        <v>221</v>
      </c>
      <c r="E44" s="187" t="s">
        <v>219</v>
      </c>
      <c r="F44" s="188"/>
      <c r="G44" s="188"/>
      <c r="H44" s="206">
        <v>13</v>
      </c>
      <c r="I44" s="206">
        <v>1220.52</v>
      </c>
      <c r="J44" s="221">
        <f>I44*H44</f>
        <v>15866.76</v>
      </c>
      <c r="K44" s="256">
        <f t="shared" si="1"/>
        <v>13</v>
      </c>
      <c r="L44" s="256">
        <f t="shared" si="2"/>
        <v>1220.52</v>
      </c>
      <c r="M44" s="257">
        <f t="shared" si="3"/>
        <v>15866.76</v>
      </c>
    </row>
    <row r="45" spans="1:13" ht="30" x14ac:dyDescent="0.25">
      <c r="A45" s="214" t="s">
        <v>222</v>
      </c>
      <c r="B45" s="184" t="s">
        <v>166</v>
      </c>
      <c r="C45" s="185" t="s">
        <v>223</v>
      </c>
      <c r="D45" s="190" t="s">
        <v>224</v>
      </c>
      <c r="E45" s="187" t="s">
        <v>225</v>
      </c>
      <c r="F45" s="188"/>
      <c r="G45" s="188"/>
      <c r="H45" s="206">
        <v>2</v>
      </c>
      <c r="I45" s="206">
        <v>411.66</v>
      </c>
      <c r="J45" s="221">
        <v>823.32</v>
      </c>
      <c r="K45" s="256">
        <f t="shared" si="1"/>
        <v>2</v>
      </c>
      <c r="L45" s="256">
        <f t="shared" si="2"/>
        <v>411.66</v>
      </c>
      <c r="M45" s="257">
        <f t="shared" si="3"/>
        <v>823.32</v>
      </c>
    </row>
    <row r="46" spans="1:13" ht="45" x14ac:dyDescent="0.25">
      <c r="A46" s="214"/>
      <c r="B46" s="184" t="s">
        <v>63</v>
      </c>
      <c r="C46" s="185" t="s">
        <v>226</v>
      </c>
      <c r="D46" s="190" t="s">
        <v>227</v>
      </c>
      <c r="E46" s="187" t="s">
        <v>225</v>
      </c>
      <c r="F46" s="188"/>
      <c r="G46" s="188"/>
      <c r="H46" s="206">
        <v>2</v>
      </c>
      <c r="I46" s="206">
        <v>1628.24</v>
      </c>
      <c r="J46" s="221">
        <f>I46*H46</f>
        <v>3256.48</v>
      </c>
      <c r="K46" s="256">
        <f t="shared" si="1"/>
        <v>2</v>
      </c>
      <c r="L46" s="256">
        <f t="shared" si="2"/>
        <v>1628.24</v>
      </c>
      <c r="M46" s="257">
        <f t="shared" si="3"/>
        <v>3256.48</v>
      </c>
    </row>
    <row r="47" spans="1:13" ht="30" x14ac:dyDescent="0.25">
      <c r="A47" s="214" t="s">
        <v>228</v>
      </c>
      <c r="B47" s="184" t="s">
        <v>166</v>
      </c>
      <c r="C47" s="185" t="s">
        <v>229</v>
      </c>
      <c r="D47" s="190" t="s">
        <v>230</v>
      </c>
      <c r="E47" s="187" t="s">
        <v>219</v>
      </c>
      <c r="F47" s="188"/>
      <c r="G47" s="188"/>
      <c r="H47" s="206">
        <v>13</v>
      </c>
      <c r="I47" s="206">
        <v>19.73</v>
      </c>
      <c r="J47" s="221">
        <v>256.49</v>
      </c>
      <c r="K47" s="256">
        <f t="shared" si="1"/>
        <v>13</v>
      </c>
      <c r="L47" s="256">
        <f t="shared" si="2"/>
        <v>19.73</v>
      </c>
      <c r="M47" s="257">
        <f t="shared" si="3"/>
        <v>256.49</v>
      </c>
    </row>
    <row r="48" spans="1:13" ht="30" x14ac:dyDescent="0.25">
      <c r="A48" s="214" t="s">
        <v>231</v>
      </c>
      <c r="B48" s="184" t="s">
        <v>166</v>
      </c>
      <c r="C48" s="185" t="s">
        <v>232</v>
      </c>
      <c r="D48" s="190" t="s">
        <v>233</v>
      </c>
      <c r="E48" s="187" t="s">
        <v>219</v>
      </c>
      <c r="F48" s="188"/>
      <c r="G48" s="188"/>
      <c r="H48" s="206">
        <v>13</v>
      </c>
      <c r="I48" s="206">
        <v>34.200000000000003</v>
      </c>
      <c r="J48" s="221">
        <v>444.6</v>
      </c>
      <c r="K48" s="256">
        <f t="shared" si="1"/>
        <v>13</v>
      </c>
      <c r="L48" s="256">
        <f t="shared" si="2"/>
        <v>34.200000000000003</v>
      </c>
      <c r="M48" s="257">
        <f t="shared" si="3"/>
        <v>444.6</v>
      </c>
    </row>
    <row r="49" spans="1:13" ht="30" x14ac:dyDescent="0.25">
      <c r="A49" s="214" t="s">
        <v>234</v>
      </c>
      <c r="B49" s="184" t="s">
        <v>166</v>
      </c>
      <c r="C49" s="185" t="s">
        <v>235</v>
      </c>
      <c r="D49" s="190" t="s">
        <v>236</v>
      </c>
      <c r="E49" s="187" t="s">
        <v>219</v>
      </c>
      <c r="F49" s="188"/>
      <c r="G49" s="188"/>
      <c r="H49" s="206">
        <v>13</v>
      </c>
      <c r="I49" s="206">
        <v>19.73</v>
      </c>
      <c r="J49" s="221">
        <v>256.49</v>
      </c>
      <c r="K49" s="256">
        <f t="shared" si="1"/>
        <v>13</v>
      </c>
      <c r="L49" s="256">
        <f t="shared" si="2"/>
        <v>19.73</v>
      </c>
      <c r="M49" s="257">
        <f t="shared" si="3"/>
        <v>256.49</v>
      </c>
    </row>
    <row r="50" spans="1:13" ht="30" x14ac:dyDescent="0.25">
      <c r="A50" s="214" t="s">
        <v>237</v>
      </c>
      <c r="B50" s="184" t="s">
        <v>166</v>
      </c>
      <c r="C50" s="185" t="s">
        <v>238</v>
      </c>
      <c r="D50" s="190" t="s">
        <v>239</v>
      </c>
      <c r="E50" s="187" t="s">
        <v>219</v>
      </c>
      <c r="F50" s="188"/>
      <c r="G50" s="188"/>
      <c r="H50" s="206">
        <v>13</v>
      </c>
      <c r="I50" s="206">
        <v>9.2100000000000009</v>
      </c>
      <c r="J50" s="221">
        <v>119.73000000000002</v>
      </c>
      <c r="K50" s="256">
        <f t="shared" si="1"/>
        <v>13</v>
      </c>
      <c r="L50" s="256">
        <f t="shared" si="2"/>
        <v>9.2100000000000009</v>
      </c>
      <c r="M50" s="257">
        <f t="shared" si="3"/>
        <v>119.73000000000002</v>
      </c>
    </row>
    <row r="51" spans="1:13" x14ac:dyDescent="0.25">
      <c r="A51" s="217"/>
      <c r="B51" s="218" t="s">
        <v>166</v>
      </c>
      <c r="C51" s="219" t="s">
        <v>176</v>
      </c>
      <c r="D51" s="220" t="s">
        <v>240</v>
      </c>
      <c r="E51" s="212"/>
      <c r="F51" s="215"/>
      <c r="G51" s="215"/>
      <c r="H51" s="216"/>
      <c r="I51" s="216"/>
      <c r="J51" s="223"/>
      <c r="K51" s="256">
        <f t="shared" si="1"/>
        <v>0</v>
      </c>
      <c r="L51" s="256">
        <f t="shared" si="2"/>
        <v>0</v>
      </c>
      <c r="M51" s="257">
        <f t="shared" si="3"/>
        <v>0</v>
      </c>
    </row>
    <row r="52" spans="1:13" ht="30" x14ac:dyDescent="0.25">
      <c r="A52" s="214" t="s">
        <v>241</v>
      </c>
      <c r="B52" s="184" t="s">
        <v>166</v>
      </c>
      <c r="C52" s="185" t="s">
        <v>242</v>
      </c>
      <c r="D52" s="190" t="s">
        <v>243</v>
      </c>
      <c r="E52" s="187" t="s">
        <v>219</v>
      </c>
      <c r="F52" s="188"/>
      <c r="G52" s="188"/>
      <c r="H52" s="206">
        <v>26</v>
      </c>
      <c r="I52" s="206">
        <v>149.94</v>
      </c>
      <c r="J52" s="221">
        <v>3898.44</v>
      </c>
      <c r="K52" s="256">
        <f t="shared" si="1"/>
        <v>26</v>
      </c>
      <c r="L52" s="256">
        <f t="shared" si="2"/>
        <v>149.94</v>
      </c>
      <c r="M52" s="257">
        <f t="shared" si="3"/>
        <v>3898.44</v>
      </c>
    </row>
    <row r="53" spans="1:13" ht="30" x14ac:dyDescent="0.25">
      <c r="A53" s="214" t="s">
        <v>244</v>
      </c>
      <c r="B53" s="184" t="s">
        <v>166</v>
      </c>
      <c r="C53" s="185" t="s">
        <v>245</v>
      </c>
      <c r="D53" s="190" t="s">
        <v>246</v>
      </c>
      <c r="E53" s="187" t="s">
        <v>219</v>
      </c>
      <c r="F53" s="188"/>
      <c r="G53" s="188"/>
      <c r="H53" s="206">
        <v>26</v>
      </c>
      <c r="I53" s="206">
        <v>87.65</v>
      </c>
      <c r="J53" s="221">
        <v>2278.9</v>
      </c>
      <c r="K53" s="256">
        <f t="shared" si="1"/>
        <v>26</v>
      </c>
      <c r="L53" s="256">
        <f t="shared" si="2"/>
        <v>87.65</v>
      </c>
      <c r="M53" s="257">
        <f t="shared" si="3"/>
        <v>2278.9</v>
      </c>
    </row>
    <row r="54" spans="1:13" x14ac:dyDescent="0.25">
      <c r="A54" s="214" t="s">
        <v>247</v>
      </c>
      <c r="B54" s="184" t="s">
        <v>166</v>
      </c>
      <c r="C54" s="185" t="s">
        <v>248</v>
      </c>
      <c r="D54" s="190" t="s">
        <v>249</v>
      </c>
      <c r="E54" s="187" t="s">
        <v>192</v>
      </c>
      <c r="F54" s="188"/>
      <c r="G54" s="188"/>
      <c r="H54" s="206">
        <v>13.279332066869301</v>
      </c>
      <c r="I54" s="206">
        <v>51.29</v>
      </c>
      <c r="J54" s="221">
        <v>681.09694170972648</v>
      </c>
      <c r="K54" s="256">
        <f t="shared" si="1"/>
        <v>13.279332066869301</v>
      </c>
      <c r="L54" s="256">
        <f t="shared" si="2"/>
        <v>51.29</v>
      </c>
      <c r="M54" s="257">
        <f t="shared" si="3"/>
        <v>681.09694170972648</v>
      </c>
    </row>
    <row r="55" spans="1:13" ht="45" x14ac:dyDescent="0.25">
      <c r="A55" s="214" t="s">
        <v>250</v>
      </c>
      <c r="B55" s="184" t="s">
        <v>166</v>
      </c>
      <c r="C55" s="185" t="s">
        <v>251</v>
      </c>
      <c r="D55" s="190" t="s">
        <v>252</v>
      </c>
      <c r="E55" s="187" t="s">
        <v>192</v>
      </c>
      <c r="F55" s="188"/>
      <c r="G55" s="188"/>
      <c r="H55" s="206">
        <v>17.16</v>
      </c>
      <c r="I55" s="206">
        <v>257.77999999999997</v>
      </c>
      <c r="J55" s="221">
        <v>4423.5047999999997</v>
      </c>
      <c r="K55" s="256">
        <f t="shared" si="1"/>
        <v>17.16</v>
      </c>
      <c r="L55" s="256">
        <f t="shared" si="2"/>
        <v>257.77999999999997</v>
      </c>
      <c r="M55" s="257">
        <f t="shared" si="3"/>
        <v>4423.5047999999997</v>
      </c>
    </row>
    <row r="56" spans="1:13" ht="45" x14ac:dyDescent="0.25">
      <c r="A56" s="214" t="s">
        <v>253</v>
      </c>
      <c r="B56" s="184" t="s">
        <v>166</v>
      </c>
      <c r="C56" s="185" t="s">
        <v>254</v>
      </c>
      <c r="D56" s="190" t="s">
        <v>255</v>
      </c>
      <c r="E56" s="187" t="s">
        <v>192</v>
      </c>
      <c r="F56" s="188"/>
      <c r="G56" s="188"/>
      <c r="H56" s="206">
        <v>14.3</v>
      </c>
      <c r="I56" s="206">
        <v>154.66999999999999</v>
      </c>
      <c r="J56" s="221">
        <v>2211.7809999999999</v>
      </c>
      <c r="K56" s="256">
        <f t="shared" si="1"/>
        <v>14.3</v>
      </c>
      <c r="L56" s="256">
        <f t="shared" si="2"/>
        <v>154.66999999999999</v>
      </c>
      <c r="M56" s="257">
        <f t="shared" si="3"/>
        <v>2211.7809999999999</v>
      </c>
    </row>
    <row r="57" spans="1:13" ht="30" x14ac:dyDescent="0.25">
      <c r="A57" s="214" t="s">
        <v>256</v>
      </c>
      <c r="B57" s="184" t="s">
        <v>166</v>
      </c>
      <c r="C57" s="185" t="s">
        <v>257</v>
      </c>
      <c r="D57" s="190" t="s">
        <v>258</v>
      </c>
      <c r="E57" s="187" t="s">
        <v>192</v>
      </c>
      <c r="F57" s="188"/>
      <c r="G57" s="188"/>
      <c r="H57" s="206">
        <v>0.29019072188449846</v>
      </c>
      <c r="I57" s="206">
        <v>114.42</v>
      </c>
      <c r="J57" s="221">
        <v>33.203622398024315</v>
      </c>
      <c r="K57" s="256">
        <f t="shared" si="1"/>
        <v>0.29019072188449846</v>
      </c>
      <c r="L57" s="256">
        <f t="shared" si="2"/>
        <v>114.42</v>
      </c>
      <c r="M57" s="257">
        <f t="shared" si="3"/>
        <v>33.203622398024315</v>
      </c>
    </row>
    <row r="58" spans="1:13" ht="30" x14ac:dyDescent="0.25">
      <c r="A58" s="214" t="s">
        <v>259</v>
      </c>
      <c r="B58" s="184" t="s">
        <v>166</v>
      </c>
      <c r="C58" s="185" t="s">
        <v>260</v>
      </c>
      <c r="D58" s="190" t="s">
        <v>261</v>
      </c>
      <c r="E58" s="187" t="s">
        <v>192</v>
      </c>
      <c r="F58" s="188"/>
      <c r="G58" s="188"/>
      <c r="H58" s="206">
        <v>13.279332066869301</v>
      </c>
      <c r="I58" s="206">
        <v>40.770000000000003</v>
      </c>
      <c r="J58" s="221">
        <v>541.39836836626148</v>
      </c>
      <c r="K58" s="256">
        <f t="shared" si="1"/>
        <v>13.279332066869301</v>
      </c>
      <c r="L58" s="256">
        <f t="shared" si="2"/>
        <v>40.770000000000003</v>
      </c>
      <c r="M58" s="257">
        <f t="shared" si="3"/>
        <v>541.39836836626148</v>
      </c>
    </row>
    <row r="59" spans="1:13" ht="30" x14ac:dyDescent="0.25">
      <c r="A59" s="214" t="s">
        <v>262</v>
      </c>
      <c r="B59" s="184" t="s">
        <v>166</v>
      </c>
      <c r="C59" s="185" t="s">
        <v>263</v>
      </c>
      <c r="D59" s="190" t="s">
        <v>261</v>
      </c>
      <c r="E59" s="187" t="s">
        <v>192</v>
      </c>
      <c r="F59" s="188"/>
      <c r="G59" s="188"/>
      <c r="H59" s="206">
        <v>13.279332066869301</v>
      </c>
      <c r="I59" s="206">
        <v>157.80000000000001</v>
      </c>
      <c r="J59" s="221">
        <v>2095.478600151976</v>
      </c>
      <c r="K59" s="256">
        <f t="shared" si="1"/>
        <v>13.279332066869301</v>
      </c>
      <c r="L59" s="256">
        <f t="shared" si="2"/>
        <v>157.80000000000001</v>
      </c>
      <c r="M59" s="257">
        <f t="shared" si="3"/>
        <v>2095.478600151976</v>
      </c>
    </row>
    <row r="60" spans="1:13" ht="15.75" thickBot="1" x14ac:dyDescent="0.3"/>
    <row r="61" spans="1:13" ht="16.5" thickBot="1" x14ac:dyDescent="0.3">
      <c r="A61" s="132"/>
      <c r="B61" s="134"/>
      <c r="C61" s="135" t="s">
        <v>105</v>
      </c>
      <c r="D61" s="133"/>
      <c r="E61" s="136"/>
      <c r="F61" s="137"/>
      <c r="G61" s="138">
        <f>SUBTOTAL(9,G51:G60)</f>
        <v>0</v>
      </c>
      <c r="H61" s="139"/>
      <c r="I61" s="139"/>
      <c r="J61" s="140">
        <f>SUBTOTAL(9,J17:J60)</f>
        <v>82328.939173220002</v>
      </c>
      <c r="K61" s="140"/>
      <c r="L61" s="140"/>
      <c r="M61" s="255">
        <f t="shared" ref="M61" si="4">SUBTOTAL(9,M17:M60)</f>
        <v>82328.939173220002</v>
      </c>
    </row>
    <row r="62" spans="1:13" ht="15.75" x14ac:dyDescent="0.25">
      <c r="A62" s="121"/>
      <c r="B62" s="142"/>
      <c r="C62" s="143"/>
      <c r="D62" s="144"/>
      <c r="E62" s="145"/>
      <c r="F62" s="125"/>
      <c r="G62" s="146"/>
      <c r="H62" s="147"/>
      <c r="I62" s="148"/>
      <c r="J62" s="149"/>
      <c r="K62" s="150"/>
      <c r="L62" s="150"/>
      <c r="M62" s="151"/>
    </row>
    <row r="63" spans="1:13" ht="15.75" x14ac:dyDescent="0.25">
      <c r="A63" s="123"/>
      <c r="B63" s="31" t="s">
        <v>18</v>
      </c>
      <c r="D63" s="35" t="s">
        <v>106</v>
      </c>
      <c r="E63" s="152"/>
      <c r="F63" s="123"/>
      <c r="H63" s="35" t="s">
        <v>20</v>
      </c>
      <c r="I63" s="153"/>
      <c r="J63" s="149"/>
      <c r="K63" s="36" t="s">
        <v>22</v>
      </c>
      <c r="L63" s="151"/>
      <c r="M63" s="151"/>
    </row>
    <row r="64" spans="1:13" ht="15.75" x14ac:dyDescent="0.25">
      <c r="A64" s="123"/>
      <c r="B64" s="31"/>
      <c r="D64" s="35"/>
      <c r="E64" s="152"/>
      <c r="F64" s="123"/>
      <c r="H64" s="35"/>
      <c r="I64" s="153"/>
      <c r="J64" s="149"/>
      <c r="K64" s="36"/>
      <c r="L64" s="151"/>
      <c r="M64" s="151"/>
    </row>
    <row r="65" spans="1:13" ht="15.75" x14ac:dyDescent="0.25">
      <c r="A65" s="123"/>
      <c r="B65" s="31" t="s">
        <v>19</v>
      </c>
      <c r="D65" s="31" t="s">
        <v>107</v>
      </c>
      <c r="E65" s="152"/>
      <c r="F65" s="123"/>
      <c r="H65" s="31" t="s">
        <v>19</v>
      </c>
      <c r="I65" s="153"/>
      <c r="J65" s="149"/>
      <c r="K65" s="31" t="s">
        <v>19</v>
      </c>
      <c r="L65" s="151"/>
      <c r="M65" s="151"/>
    </row>
  </sheetData>
  <mergeCells count="3">
    <mergeCell ref="E13:G13"/>
    <mergeCell ref="H13:J13"/>
    <mergeCell ref="K13:M13"/>
  </mergeCells>
  <conditionalFormatting sqref="AB1:AH1 A1:Z1">
    <cfRule type="cellIs" dxfId="9" priority="2" stopIfTrue="1" operator="lessThan">
      <formula>0</formula>
    </cfRule>
  </conditionalFormatting>
  <conditionalFormatting sqref="E3">
    <cfRule type="cellIs" dxfId="8" priority="1" stopIfTrue="1" operator="lessThan">
      <formula>0</formula>
    </cfRule>
  </conditionalFormatting>
  <pageMargins left="0.7" right="0.7" top="0.78740157499999996" bottom="0.78740157499999996" header="0.3" footer="0.3"/>
  <pageSetup paperSize="9" scale="74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1C8A6-0DDC-484A-9EE8-AC23B29322EB}">
  <dimension ref="A1:AH38"/>
  <sheetViews>
    <sheetView view="pageBreakPreview" zoomScale="60" zoomScaleNormal="100" workbookViewId="0">
      <selection activeCell="Q29" sqref="Q29"/>
    </sheetView>
  </sheetViews>
  <sheetFormatPr defaultRowHeight="15" x14ac:dyDescent="0.25"/>
  <cols>
    <col min="3" max="3" width="12.28515625" bestFit="1" customWidth="1"/>
    <col min="4" max="4" width="34.85546875" customWidth="1"/>
    <col min="7" max="7" width="10.42578125" bestFit="1" customWidth="1"/>
    <col min="8" max="8" width="10.28515625" bestFit="1" customWidth="1"/>
    <col min="9" max="9" width="11.7109375" customWidth="1"/>
    <col min="10" max="10" width="17.140625" customWidth="1"/>
    <col min="12" max="12" width="9.42578125" customWidth="1"/>
    <col min="13" max="13" width="17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37"/>
      <c r="I1" s="37"/>
      <c r="J1" s="37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D2" s="2" t="s">
        <v>0</v>
      </c>
      <c r="E2" s="43" t="s">
        <v>359</v>
      </c>
      <c r="F2" s="44"/>
      <c r="G2" s="45"/>
      <c r="H2" s="46"/>
      <c r="I2" s="46"/>
      <c r="J2" s="46"/>
      <c r="K2" s="47"/>
      <c r="L2" s="47"/>
      <c r="M2" s="47"/>
      <c r="N2" s="46"/>
      <c r="O2" s="48"/>
      <c r="P2" s="49"/>
      <c r="Q2" s="48"/>
      <c r="R2" s="46"/>
      <c r="S2" s="47"/>
      <c r="T2" s="46"/>
      <c r="U2" s="47"/>
      <c r="V2" s="46"/>
      <c r="W2" s="47"/>
      <c r="X2" s="46"/>
      <c r="Y2" s="47"/>
      <c r="Z2" s="46"/>
      <c r="AA2" s="47"/>
      <c r="AB2" s="46"/>
      <c r="AC2" s="47"/>
      <c r="AD2" s="46"/>
      <c r="AE2" s="50"/>
      <c r="AF2" s="51"/>
      <c r="AG2" s="52"/>
      <c r="AH2" s="53"/>
    </row>
    <row r="3" spans="1:34" s="41" customFormat="1" ht="15.75" x14ac:dyDescent="0.25">
      <c r="A3" s="4"/>
      <c r="B3" s="42"/>
      <c r="D3" s="2" t="s">
        <v>2</v>
      </c>
      <c r="E3" s="3" t="s">
        <v>360</v>
      </c>
      <c r="F3" s="44"/>
      <c r="G3" s="45"/>
      <c r="H3" s="46"/>
      <c r="I3" s="46"/>
      <c r="J3" s="46"/>
      <c r="K3" s="47"/>
      <c r="L3" s="47"/>
      <c r="M3" s="47"/>
      <c r="N3" s="46"/>
      <c r="O3" s="48"/>
      <c r="P3" s="49"/>
      <c r="Q3" s="48"/>
      <c r="R3" s="46"/>
      <c r="S3" s="47"/>
      <c r="T3" s="46"/>
      <c r="U3" s="47"/>
      <c r="V3" s="46"/>
      <c r="W3" s="47"/>
      <c r="X3" s="46"/>
      <c r="Y3" s="47"/>
      <c r="Z3" s="46"/>
      <c r="AA3" s="47"/>
      <c r="AB3" s="46"/>
      <c r="AC3" s="47"/>
      <c r="AD3" s="46"/>
      <c r="AE3" s="50"/>
      <c r="AF3" s="51"/>
      <c r="AG3" s="52"/>
      <c r="AH3" s="53"/>
    </row>
    <row r="4" spans="1:34" s="41" customFormat="1" ht="15.75" x14ac:dyDescent="0.25">
      <c r="A4" s="4"/>
      <c r="B4" s="42"/>
      <c r="D4" s="54" t="s">
        <v>3</v>
      </c>
      <c r="E4" s="55" t="s">
        <v>23</v>
      </c>
      <c r="F4" s="44"/>
      <c r="G4" s="45"/>
      <c r="H4" s="46"/>
      <c r="I4" s="46"/>
      <c r="J4" s="46"/>
      <c r="K4" s="47"/>
      <c r="L4" s="47"/>
      <c r="M4" s="47"/>
      <c r="N4" s="46"/>
      <c r="O4" s="48"/>
      <c r="P4" s="49"/>
      <c r="Q4" s="48"/>
      <c r="R4" s="46"/>
      <c r="S4" s="47"/>
      <c r="T4" s="46"/>
      <c r="U4" s="47"/>
      <c r="V4" s="46"/>
      <c r="W4" s="47"/>
      <c r="X4" s="46"/>
      <c r="Y4" s="47"/>
      <c r="Z4" s="46"/>
      <c r="AA4" s="47"/>
      <c r="AB4" s="46"/>
      <c r="AC4" s="47"/>
      <c r="AD4" s="46"/>
      <c r="AE4" s="50"/>
      <c r="AF4" s="51"/>
      <c r="AG4" s="52"/>
      <c r="AH4" s="53"/>
    </row>
    <row r="5" spans="1:34" s="41" customFormat="1" ht="15.75" x14ac:dyDescent="0.25">
      <c r="A5" s="42"/>
      <c r="B5" s="42"/>
      <c r="D5" s="54" t="s">
        <v>5</v>
      </c>
      <c r="E5" s="55"/>
      <c r="F5" s="56"/>
      <c r="G5" s="45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1" customFormat="1" ht="15.75" x14ac:dyDescent="0.25">
      <c r="A6" s="42"/>
      <c r="B6" s="42"/>
      <c r="D6" s="2" t="s">
        <v>7</v>
      </c>
      <c r="E6" s="55" t="s">
        <v>24</v>
      </c>
      <c r="F6" s="56"/>
      <c r="G6" s="45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1" customFormat="1" ht="15.75" x14ac:dyDescent="0.25">
      <c r="A7" s="42"/>
      <c r="B7" s="42"/>
      <c r="D7" s="2" t="s">
        <v>9</v>
      </c>
      <c r="E7" s="65" t="s">
        <v>10</v>
      </c>
      <c r="F7" s="56"/>
      <c r="G7" s="45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9" spans="1:34" ht="18" x14ac:dyDescent="0.25">
      <c r="B9" s="183" t="s">
        <v>362</v>
      </c>
    </row>
    <row r="12" spans="1:34" ht="15.75" x14ac:dyDescent="0.25">
      <c r="A12" s="192"/>
      <c r="B12" s="77"/>
      <c r="C12" s="75"/>
      <c r="D12" s="75"/>
      <c r="E12" s="265" t="s">
        <v>50</v>
      </c>
      <c r="F12" s="265"/>
      <c r="G12" s="265"/>
      <c r="H12" s="266" t="s">
        <v>51</v>
      </c>
      <c r="I12" s="266"/>
      <c r="J12" s="266"/>
      <c r="K12" s="267" t="s">
        <v>16</v>
      </c>
      <c r="L12" s="267"/>
      <c r="M12" s="267"/>
    </row>
    <row r="13" spans="1:34" ht="24" x14ac:dyDescent="0.25">
      <c r="A13" s="78" t="s">
        <v>52</v>
      </c>
      <c r="B13" s="78" t="s">
        <v>366</v>
      </c>
      <c r="C13" s="78" t="s">
        <v>53</v>
      </c>
      <c r="D13" s="79" t="s">
        <v>54</v>
      </c>
      <c r="E13" s="80" t="s">
        <v>55</v>
      </c>
      <c r="F13" s="81" t="s">
        <v>56</v>
      </c>
      <c r="G13" s="82" t="s">
        <v>57</v>
      </c>
      <c r="H13" s="83" t="s">
        <v>55</v>
      </c>
      <c r="I13" s="84" t="s">
        <v>58</v>
      </c>
      <c r="J13" s="85" t="s">
        <v>57</v>
      </c>
      <c r="K13" s="86" t="s">
        <v>55</v>
      </c>
      <c r="L13" s="87" t="s">
        <v>58</v>
      </c>
      <c r="M13" s="88" t="s">
        <v>59</v>
      </c>
    </row>
    <row r="14" spans="1:34" x14ac:dyDescent="0.25">
      <c r="A14" s="89"/>
      <c r="B14" s="90"/>
      <c r="C14" s="91"/>
      <c r="D14" s="91"/>
      <c r="E14" s="91"/>
      <c r="F14" s="92"/>
      <c r="G14" s="93"/>
      <c r="H14" s="94"/>
      <c r="I14" s="94"/>
      <c r="J14" s="94"/>
      <c r="K14" s="93"/>
      <c r="L14" s="93"/>
      <c r="M14" s="93"/>
    </row>
    <row r="15" spans="1:34" ht="30" x14ac:dyDescent="0.25">
      <c r="A15" s="185" t="s">
        <v>97</v>
      </c>
      <c r="B15" s="199" t="s">
        <v>120</v>
      </c>
      <c r="C15" s="185" t="s">
        <v>109</v>
      </c>
      <c r="D15" s="190" t="s">
        <v>110</v>
      </c>
      <c r="E15" s="187" t="s">
        <v>76</v>
      </c>
      <c r="F15" s="188"/>
      <c r="G15" s="188"/>
      <c r="H15" s="272">
        <v>19.995000000000001</v>
      </c>
      <c r="I15" s="207">
        <v>257.77999999999997</v>
      </c>
      <c r="J15" s="221">
        <f>H15*I15</f>
        <v>5154.3110999999999</v>
      </c>
      <c r="K15" s="273">
        <f>H15</f>
        <v>19.995000000000001</v>
      </c>
      <c r="L15" s="257">
        <f>I15</f>
        <v>257.77999999999997</v>
      </c>
      <c r="M15" s="257">
        <f>K15*L15</f>
        <v>5154.3110999999999</v>
      </c>
    </row>
    <row r="16" spans="1:34" ht="30" x14ac:dyDescent="0.25">
      <c r="A16" s="185" t="s">
        <v>160</v>
      </c>
      <c r="B16" s="199" t="s">
        <v>120</v>
      </c>
      <c r="C16" s="185" t="s">
        <v>180</v>
      </c>
      <c r="D16" s="190" t="s">
        <v>181</v>
      </c>
      <c r="E16" s="187" t="s">
        <v>76</v>
      </c>
      <c r="F16" s="188"/>
      <c r="G16" s="188"/>
      <c r="H16" s="272">
        <v>19.995000000000001</v>
      </c>
      <c r="I16" s="207">
        <v>13.15</v>
      </c>
      <c r="J16" s="221">
        <f t="shared" ref="J16:J32" si="0">H16*I16</f>
        <v>262.93425000000002</v>
      </c>
      <c r="K16" s="273">
        <f t="shared" ref="K16:K32" si="1">H16</f>
        <v>19.995000000000001</v>
      </c>
      <c r="L16" s="257">
        <f t="shared" ref="L16:L32" si="2">I16</f>
        <v>13.15</v>
      </c>
      <c r="M16" s="257">
        <f t="shared" ref="M16:M32" si="3">K16*L16</f>
        <v>262.93425000000002</v>
      </c>
    </row>
    <row r="17" spans="1:13" ht="30" x14ac:dyDescent="0.25">
      <c r="A17" s="185" t="s">
        <v>193</v>
      </c>
      <c r="B17" s="199" t="s">
        <v>120</v>
      </c>
      <c r="C17" s="185" t="s">
        <v>185</v>
      </c>
      <c r="D17" s="190" t="s">
        <v>186</v>
      </c>
      <c r="E17" s="187" t="s">
        <v>76</v>
      </c>
      <c r="F17" s="188"/>
      <c r="G17" s="188"/>
      <c r="H17" s="272">
        <v>19.995000000000001</v>
      </c>
      <c r="I17" s="207">
        <v>13.15</v>
      </c>
      <c r="J17" s="221">
        <f t="shared" si="0"/>
        <v>262.93425000000002</v>
      </c>
      <c r="K17" s="273">
        <f t="shared" si="1"/>
        <v>19.995000000000001</v>
      </c>
      <c r="L17" s="257">
        <f t="shared" si="2"/>
        <v>13.15</v>
      </c>
      <c r="M17" s="257">
        <f t="shared" si="3"/>
        <v>262.93425000000002</v>
      </c>
    </row>
    <row r="18" spans="1:13" x14ac:dyDescent="0.25">
      <c r="A18" s="185" t="s">
        <v>69</v>
      </c>
      <c r="B18" s="199" t="s">
        <v>120</v>
      </c>
      <c r="C18" s="185" t="s">
        <v>187</v>
      </c>
      <c r="D18" s="190" t="s">
        <v>188</v>
      </c>
      <c r="E18" s="187" t="s">
        <v>76</v>
      </c>
      <c r="F18" s="188"/>
      <c r="G18" s="188"/>
      <c r="H18" s="272">
        <v>19.995000000000001</v>
      </c>
      <c r="I18" s="207">
        <v>11.84</v>
      </c>
      <c r="J18" s="221">
        <f t="shared" si="0"/>
        <v>236.74080000000001</v>
      </c>
      <c r="K18" s="273">
        <f t="shared" si="1"/>
        <v>19.995000000000001</v>
      </c>
      <c r="L18" s="257">
        <f t="shared" si="2"/>
        <v>11.84</v>
      </c>
      <c r="M18" s="257">
        <f t="shared" si="3"/>
        <v>236.74080000000001</v>
      </c>
    </row>
    <row r="19" spans="1:13" x14ac:dyDescent="0.25">
      <c r="A19" s="185" t="s">
        <v>264</v>
      </c>
      <c r="B19" s="199" t="s">
        <v>120</v>
      </c>
      <c r="C19" s="185" t="s">
        <v>187</v>
      </c>
      <c r="D19" s="190" t="s">
        <v>188</v>
      </c>
      <c r="E19" s="187" t="s">
        <v>76</v>
      </c>
      <c r="F19" s="188"/>
      <c r="G19" s="188"/>
      <c r="H19" s="272">
        <v>17.515000000000001</v>
      </c>
      <c r="I19" s="207">
        <v>11.84</v>
      </c>
      <c r="J19" s="221">
        <f t="shared" si="0"/>
        <v>207.3776</v>
      </c>
      <c r="K19" s="273">
        <f t="shared" si="1"/>
        <v>17.515000000000001</v>
      </c>
      <c r="L19" s="257">
        <f t="shared" si="2"/>
        <v>11.84</v>
      </c>
      <c r="M19" s="257">
        <f t="shared" si="3"/>
        <v>207.3776</v>
      </c>
    </row>
    <row r="20" spans="1:13" ht="30" x14ac:dyDescent="0.25">
      <c r="A20" s="185" t="s">
        <v>265</v>
      </c>
      <c r="B20" s="199" t="s">
        <v>120</v>
      </c>
      <c r="C20" s="185" t="s">
        <v>190</v>
      </c>
      <c r="D20" s="190" t="s">
        <v>191</v>
      </c>
      <c r="E20" s="187" t="s">
        <v>192</v>
      </c>
      <c r="F20" s="188"/>
      <c r="G20" s="188"/>
      <c r="H20" s="272">
        <v>35.034999999999997</v>
      </c>
      <c r="I20" s="207">
        <v>116</v>
      </c>
      <c r="J20" s="221">
        <f t="shared" si="0"/>
        <v>4064.0599999999995</v>
      </c>
      <c r="K20" s="273">
        <f t="shared" si="1"/>
        <v>35.034999999999997</v>
      </c>
      <c r="L20" s="257">
        <f t="shared" si="2"/>
        <v>116</v>
      </c>
      <c r="M20" s="257">
        <f t="shared" si="3"/>
        <v>4064.0599999999995</v>
      </c>
    </row>
    <row r="21" spans="1:13" ht="30" x14ac:dyDescent="0.25">
      <c r="A21" s="185" t="s">
        <v>132</v>
      </c>
      <c r="B21" s="199" t="s">
        <v>120</v>
      </c>
      <c r="C21" s="185" t="s">
        <v>194</v>
      </c>
      <c r="D21" s="190" t="s">
        <v>195</v>
      </c>
      <c r="E21" s="187" t="s">
        <v>76</v>
      </c>
      <c r="F21" s="188"/>
      <c r="G21" s="188"/>
      <c r="H21" s="272">
        <v>2.4750000000000001</v>
      </c>
      <c r="I21" s="207">
        <v>286.72000000000003</v>
      </c>
      <c r="J21" s="221">
        <f t="shared" si="0"/>
        <v>709.63200000000006</v>
      </c>
      <c r="K21" s="273">
        <f t="shared" si="1"/>
        <v>2.4750000000000001</v>
      </c>
      <c r="L21" s="257">
        <f t="shared" si="2"/>
        <v>286.72000000000003</v>
      </c>
      <c r="M21" s="257">
        <f t="shared" si="3"/>
        <v>709.63200000000006</v>
      </c>
    </row>
    <row r="22" spans="1:13" ht="45" x14ac:dyDescent="0.25">
      <c r="A22" s="185" t="s">
        <v>124</v>
      </c>
      <c r="B22" s="199" t="s">
        <v>120</v>
      </c>
      <c r="C22" s="185" t="s">
        <v>196</v>
      </c>
      <c r="D22" s="190" t="s">
        <v>197</v>
      </c>
      <c r="E22" s="187" t="s">
        <v>76</v>
      </c>
      <c r="F22" s="188"/>
      <c r="G22" s="188"/>
      <c r="H22" s="272">
        <v>14.515000000000001</v>
      </c>
      <c r="I22" s="207">
        <v>318.27999999999997</v>
      </c>
      <c r="J22" s="221">
        <f t="shared" si="0"/>
        <v>4619.8342000000002</v>
      </c>
      <c r="K22" s="273">
        <f t="shared" si="1"/>
        <v>14.515000000000001</v>
      </c>
      <c r="L22" s="257">
        <f t="shared" si="2"/>
        <v>318.27999999999997</v>
      </c>
      <c r="M22" s="257">
        <f t="shared" si="3"/>
        <v>4619.8342000000002</v>
      </c>
    </row>
    <row r="23" spans="1:13" x14ac:dyDescent="0.25">
      <c r="A23" s="185" t="s">
        <v>266</v>
      </c>
      <c r="B23" s="199" t="s">
        <v>120</v>
      </c>
      <c r="C23" s="185" t="s">
        <v>267</v>
      </c>
      <c r="D23" s="190" t="s">
        <v>268</v>
      </c>
      <c r="E23" s="187" t="s">
        <v>192</v>
      </c>
      <c r="F23" s="188"/>
      <c r="G23" s="188"/>
      <c r="H23" s="272">
        <v>29.035</v>
      </c>
      <c r="I23" s="207">
        <v>155.96</v>
      </c>
      <c r="J23" s="221">
        <f t="shared" si="0"/>
        <v>4528.2986000000001</v>
      </c>
      <c r="K23" s="273">
        <f t="shared" si="1"/>
        <v>29.035</v>
      </c>
      <c r="L23" s="257">
        <f t="shared" si="2"/>
        <v>155.96</v>
      </c>
      <c r="M23" s="257">
        <f t="shared" si="3"/>
        <v>4528.2986000000001</v>
      </c>
    </row>
    <row r="24" spans="1:13" ht="30" x14ac:dyDescent="0.25">
      <c r="A24" s="185" t="s">
        <v>269</v>
      </c>
      <c r="B24" s="199" t="s">
        <v>120</v>
      </c>
      <c r="C24" s="185" t="s">
        <v>199</v>
      </c>
      <c r="D24" s="190" t="s">
        <v>102</v>
      </c>
      <c r="E24" s="187" t="s">
        <v>76</v>
      </c>
      <c r="F24" s="188"/>
      <c r="G24" s="188"/>
      <c r="H24" s="272">
        <v>19.995000000000001</v>
      </c>
      <c r="I24" s="207">
        <v>80.23</v>
      </c>
      <c r="J24" s="221">
        <f t="shared" si="0"/>
        <v>1604.1988500000002</v>
      </c>
      <c r="K24" s="273">
        <f t="shared" si="1"/>
        <v>19.995000000000001</v>
      </c>
      <c r="L24" s="257">
        <f t="shared" si="2"/>
        <v>80.23</v>
      </c>
      <c r="M24" s="257">
        <f t="shared" si="3"/>
        <v>1604.1988500000002</v>
      </c>
    </row>
    <row r="25" spans="1:13" ht="30" x14ac:dyDescent="0.25">
      <c r="A25" s="185" t="s">
        <v>270</v>
      </c>
      <c r="B25" s="199" t="s">
        <v>120</v>
      </c>
      <c r="C25" s="185" t="s">
        <v>201</v>
      </c>
      <c r="D25" s="190" t="s">
        <v>102</v>
      </c>
      <c r="E25" s="187" t="s">
        <v>76</v>
      </c>
      <c r="F25" s="188"/>
      <c r="G25" s="188"/>
      <c r="H25" s="272">
        <v>2.4750000000000001</v>
      </c>
      <c r="I25" s="207">
        <v>124.95</v>
      </c>
      <c r="J25" s="221">
        <f t="shared" si="0"/>
        <v>309.25125000000003</v>
      </c>
      <c r="K25" s="273">
        <f t="shared" si="1"/>
        <v>2.4750000000000001</v>
      </c>
      <c r="L25" s="257">
        <f t="shared" si="2"/>
        <v>124.95</v>
      </c>
      <c r="M25" s="257">
        <f t="shared" si="3"/>
        <v>309.25125000000003</v>
      </c>
    </row>
    <row r="26" spans="1:13" ht="30" x14ac:dyDescent="0.25">
      <c r="A26" s="185" t="s">
        <v>100</v>
      </c>
      <c r="B26" s="199" t="s">
        <v>120</v>
      </c>
      <c r="C26" s="185" t="s">
        <v>101</v>
      </c>
      <c r="D26" s="190" t="s">
        <v>102</v>
      </c>
      <c r="E26" s="187" t="s">
        <v>76</v>
      </c>
      <c r="F26" s="188"/>
      <c r="G26" s="188"/>
      <c r="H26" s="272">
        <v>17.515000000000001</v>
      </c>
      <c r="I26" s="207">
        <v>247.39</v>
      </c>
      <c r="J26" s="221">
        <f t="shared" si="0"/>
        <v>4333.0358500000002</v>
      </c>
      <c r="K26" s="273">
        <f t="shared" si="1"/>
        <v>17.515000000000001</v>
      </c>
      <c r="L26" s="257">
        <f t="shared" si="2"/>
        <v>247.39</v>
      </c>
      <c r="M26" s="257">
        <f t="shared" si="3"/>
        <v>4333.0358500000002</v>
      </c>
    </row>
    <row r="27" spans="1:13" ht="30" x14ac:dyDescent="0.25">
      <c r="A27" s="185" t="s">
        <v>136</v>
      </c>
      <c r="B27" s="199" t="s">
        <v>120</v>
      </c>
      <c r="C27" s="185" t="s">
        <v>271</v>
      </c>
      <c r="D27" s="190" t="s">
        <v>272</v>
      </c>
      <c r="E27" s="187" t="s">
        <v>76</v>
      </c>
      <c r="F27" s="188"/>
      <c r="G27" s="188"/>
      <c r="H27" s="272">
        <v>2.9950000000000001</v>
      </c>
      <c r="I27" s="207">
        <v>3143.4799999999996</v>
      </c>
      <c r="J27" s="221">
        <f t="shared" si="0"/>
        <v>9414.7225999999991</v>
      </c>
      <c r="K27" s="273">
        <f t="shared" si="1"/>
        <v>2.9950000000000001</v>
      </c>
      <c r="L27" s="257">
        <f t="shared" si="2"/>
        <v>3143.4799999999996</v>
      </c>
      <c r="M27" s="257">
        <f t="shared" si="3"/>
        <v>9414.7225999999991</v>
      </c>
    </row>
    <row r="28" spans="1:13" ht="38.25" x14ac:dyDescent="0.25">
      <c r="A28" s="185"/>
      <c r="B28" s="199" t="s">
        <v>120</v>
      </c>
      <c r="C28" s="185">
        <v>812372221</v>
      </c>
      <c r="D28" s="186" t="s">
        <v>273</v>
      </c>
      <c r="E28" s="187" t="s">
        <v>219</v>
      </c>
      <c r="F28" s="188"/>
      <c r="G28" s="188"/>
      <c r="H28" s="272">
        <v>7.9950000000000001</v>
      </c>
      <c r="I28" s="207">
        <v>641.28</v>
      </c>
      <c r="J28" s="221">
        <f t="shared" si="0"/>
        <v>5127.0335999999998</v>
      </c>
      <c r="K28" s="273">
        <f t="shared" si="1"/>
        <v>7.9950000000000001</v>
      </c>
      <c r="L28" s="257">
        <f t="shared" si="2"/>
        <v>641.28</v>
      </c>
      <c r="M28" s="257">
        <f t="shared" si="3"/>
        <v>5127.0335999999998</v>
      </c>
    </row>
    <row r="29" spans="1:13" ht="25.5" x14ac:dyDescent="0.25">
      <c r="A29" s="185"/>
      <c r="B29" s="199" t="s">
        <v>120</v>
      </c>
      <c r="C29" s="214" t="s">
        <v>274</v>
      </c>
      <c r="D29" s="186" t="s">
        <v>275</v>
      </c>
      <c r="E29" s="187" t="s">
        <v>219</v>
      </c>
      <c r="F29" s="188"/>
      <c r="G29" s="188"/>
      <c r="H29" s="272">
        <v>7.9950000000000001</v>
      </c>
      <c r="I29" s="207">
        <v>870</v>
      </c>
      <c r="J29" s="221">
        <f t="shared" si="0"/>
        <v>6955.6500000000005</v>
      </c>
      <c r="K29" s="273">
        <f t="shared" si="1"/>
        <v>7.9950000000000001</v>
      </c>
      <c r="L29" s="257">
        <f t="shared" si="2"/>
        <v>870</v>
      </c>
      <c r="M29" s="257">
        <f t="shared" si="3"/>
        <v>6955.6500000000005</v>
      </c>
    </row>
    <row r="30" spans="1:13" ht="38.25" x14ac:dyDescent="0.25">
      <c r="A30" s="185"/>
      <c r="B30" s="199" t="s">
        <v>120</v>
      </c>
      <c r="C30" s="185">
        <v>812392121</v>
      </c>
      <c r="D30" s="186" t="s">
        <v>276</v>
      </c>
      <c r="E30" s="187" t="s">
        <v>219</v>
      </c>
      <c r="F30" s="188"/>
      <c r="G30" s="188"/>
      <c r="H30" s="272">
        <v>11.994999999999999</v>
      </c>
      <c r="I30" s="207">
        <v>617.28</v>
      </c>
      <c r="J30" s="221">
        <f t="shared" si="0"/>
        <v>7404.2735999999995</v>
      </c>
      <c r="K30" s="273">
        <f t="shared" si="1"/>
        <v>11.994999999999999</v>
      </c>
      <c r="L30" s="257">
        <f t="shared" si="2"/>
        <v>617.28</v>
      </c>
      <c r="M30" s="257">
        <f t="shared" si="3"/>
        <v>7404.2735999999995</v>
      </c>
    </row>
    <row r="31" spans="1:13" ht="25.5" x14ac:dyDescent="0.25">
      <c r="A31" s="185"/>
      <c r="B31" s="199" t="s">
        <v>120</v>
      </c>
      <c r="C31" s="214" t="s">
        <v>274</v>
      </c>
      <c r="D31" s="186" t="s">
        <v>277</v>
      </c>
      <c r="E31" s="187" t="s">
        <v>219</v>
      </c>
      <c r="F31" s="188"/>
      <c r="G31" s="188"/>
      <c r="H31" s="272">
        <v>11.994999999999999</v>
      </c>
      <c r="I31" s="207">
        <v>1020</v>
      </c>
      <c r="J31" s="221">
        <f t="shared" si="0"/>
        <v>12234.9</v>
      </c>
      <c r="K31" s="273">
        <f t="shared" si="1"/>
        <v>11.994999999999999</v>
      </c>
      <c r="L31" s="257">
        <f t="shared" si="2"/>
        <v>1020</v>
      </c>
      <c r="M31" s="257">
        <f t="shared" si="3"/>
        <v>12234.9</v>
      </c>
    </row>
    <row r="32" spans="1:13" ht="25.5" x14ac:dyDescent="0.25">
      <c r="A32" s="185"/>
      <c r="B32" s="199" t="s">
        <v>120</v>
      </c>
      <c r="C32" s="214" t="s">
        <v>274</v>
      </c>
      <c r="D32" s="186" t="s">
        <v>278</v>
      </c>
      <c r="E32" s="184" t="s">
        <v>279</v>
      </c>
      <c r="F32" s="188"/>
      <c r="G32" s="188"/>
      <c r="H32" s="272">
        <v>0.995</v>
      </c>
      <c r="I32" s="207">
        <v>3739.2</v>
      </c>
      <c r="J32" s="221">
        <f t="shared" si="0"/>
        <v>3720.5039999999999</v>
      </c>
      <c r="K32" s="273">
        <f t="shared" si="1"/>
        <v>0.995</v>
      </c>
      <c r="L32" s="257">
        <f t="shared" si="2"/>
        <v>3739.2</v>
      </c>
      <c r="M32" s="257">
        <f t="shared" si="3"/>
        <v>3720.5039999999999</v>
      </c>
    </row>
    <row r="33" spans="1:13" ht="15.75" thickBot="1" x14ac:dyDescent="0.3">
      <c r="K33" s="194"/>
      <c r="L33" s="194"/>
      <c r="M33" s="194"/>
    </row>
    <row r="34" spans="1:13" ht="16.5" thickBot="1" x14ac:dyDescent="0.3">
      <c r="A34" s="132"/>
      <c r="B34" s="134"/>
      <c r="C34" s="135" t="s">
        <v>105</v>
      </c>
      <c r="D34" s="133"/>
      <c r="E34" s="136"/>
      <c r="F34" s="137"/>
      <c r="G34" s="138">
        <f>SUBTOTAL(9,G24:G33)</f>
        <v>0</v>
      </c>
      <c r="H34" s="139"/>
      <c r="I34" s="139"/>
      <c r="J34" s="140">
        <f>SUBTOTAL(9,J11:J33)</f>
        <v>71149.692550000007</v>
      </c>
      <c r="K34" s="255"/>
      <c r="L34" s="255"/>
      <c r="M34" s="255">
        <f t="shared" ref="M34" si="4">SUBTOTAL(9,M11:M33)</f>
        <v>71149.692550000007</v>
      </c>
    </row>
    <row r="35" spans="1:13" ht="15.75" x14ac:dyDescent="0.25">
      <c r="A35" s="121"/>
      <c r="B35" s="142"/>
      <c r="C35" s="143"/>
      <c r="D35" s="144"/>
      <c r="E35" s="145"/>
      <c r="F35" s="125"/>
      <c r="G35" s="146"/>
      <c r="H35" s="147"/>
      <c r="I35" s="148"/>
      <c r="J35" s="149"/>
      <c r="K35" s="150"/>
      <c r="L35" s="150"/>
      <c r="M35" s="151"/>
    </row>
    <row r="36" spans="1:13" ht="15.75" x14ac:dyDescent="0.25">
      <c r="A36" s="123"/>
      <c r="B36" s="31" t="s">
        <v>18</v>
      </c>
      <c r="D36" s="35" t="s">
        <v>106</v>
      </c>
      <c r="E36" s="152"/>
      <c r="F36" s="123"/>
      <c r="H36" s="35" t="s">
        <v>20</v>
      </c>
      <c r="I36" s="153"/>
      <c r="J36" s="149"/>
      <c r="K36" s="36" t="s">
        <v>22</v>
      </c>
      <c r="L36" s="151"/>
      <c r="M36" s="151"/>
    </row>
    <row r="37" spans="1:13" ht="15.75" x14ac:dyDescent="0.25">
      <c r="A37" s="123"/>
      <c r="B37" s="31"/>
      <c r="D37" s="35"/>
      <c r="E37" s="152"/>
      <c r="F37" s="123"/>
      <c r="H37" s="35"/>
      <c r="I37" s="153"/>
      <c r="J37" s="149"/>
      <c r="K37" s="36"/>
      <c r="L37" s="151"/>
      <c r="M37" s="151"/>
    </row>
    <row r="38" spans="1:13" ht="15.75" x14ac:dyDescent="0.25">
      <c r="A38" s="123"/>
      <c r="B38" s="31" t="s">
        <v>19</v>
      </c>
      <c r="D38" s="31" t="s">
        <v>107</v>
      </c>
      <c r="E38" s="152"/>
      <c r="F38" s="123"/>
      <c r="H38" s="31" t="s">
        <v>19</v>
      </c>
      <c r="I38" s="153"/>
      <c r="J38" s="149"/>
      <c r="K38" s="31" t="s">
        <v>19</v>
      </c>
      <c r="L38" s="151"/>
      <c r="M38" s="151"/>
    </row>
  </sheetData>
  <mergeCells count="3">
    <mergeCell ref="E12:G12"/>
    <mergeCell ref="H12:J12"/>
    <mergeCell ref="K12:M12"/>
  </mergeCells>
  <conditionalFormatting sqref="AB1:AH1 A1:Z1">
    <cfRule type="cellIs" dxfId="7" priority="2" stopIfTrue="1" operator="lessThan">
      <formula>0</formula>
    </cfRule>
  </conditionalFormatting>
  <conditionalFormatting sqref="E3">
    <cfRule type="cellIs" dxfId="6" priority="1" stopIfTrue="1" operator="lessThan">
      <formula>0</formula>
    </cfRule>
  </conditionalFormatting>
  <pageMargins left="0.7" right="0.7" top="0.78740157499999996" bottom="0.78740157499999996" header="0.3" footer="0.3"/>
  <pageSetup paperSize="9" scale="7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ED8EB-DD07-43EA-9A7F-5DDBCE532595}">
  <dimension ref="A1:AH25"/>
  <sheetViews>
    <sheetView view="pageBreakPreview" zoomScale="60" zoomScaleNormal="100" workbookViewId="0">
      <selection activeCell="H20" sqref="H20"/>
    </sheetView>
  </sheetViews>
  <sheetFormatPr defaultRowHeight="15" x14ac:dyDescent="0.25"/>
  <cols>
    <col min="2" max="2" width="10.7109375" customWidth="1"/>
    <col min="3" max="3" width="38.42578125" customWidth="1"/>
    <col min="4" max="4" width="6.85546875" customWidth="1"/>
    <col min="7" max="7" width="10.28515625" customWidth="1"/>
    <col min="8" max="8" width="12.28515625" customWidth="1"/>
    <col min="9" max="9" width="11.7109375" customWidth="1"/>
    <col min="10" max="10" width="15.42578125" bestFit="1" customWidth="1"/>
    <col min="11" max="11" width="11" customWidth="1"/>
    <col min="12" max="12" width="10.28515625" customWidth="1"/>
    <col min="13" max="13" width="15.42578125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37"/>
      <c r="I1" s="37"/>
      <c r="J1" s="37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D2" s="2" t="s">
        <v>0</v>
      </c>
      <c r="E2" s="43" t="s">
        <v>359</v>
      </c>
      <c r="F2" s="44"/>
      <c r="G2" s="45"/>
      <c r="H2" s="46"/>
      <c r="I2" s="46"/>
      <c r="J2" s="46"/>
      <c r="K2" s="47"/>
      <c r="L2" s="47"/>
      <c r="M2" s="47"/>
      <c r="N2" s="46"/>
      <c r="O2" s="48"/>
      <c r="P2" s="49"/>
      <c r="Q2" s="48"/>
      <c r="R2" s="46"/>
      <c r="S2" s="47"/>
      <c r="T2" s="46"/>
      <c r="U2" s="47"/>
      <c r="V2" s="46"/>
      <c r="W2" s="47"/>
      <c r="X2" s="46"/>
      <c r="Y2" s="47"/>
      <c r="Z2" s="46"/>
      <c r="AA2" s="47"/>
      <c r="AB2" s="46"/>
      <c r="AC2" s="47"/>
      <c r="AD2" s="46"/>
      <c r="AE2" s="50"/>
      <c r="AF2" s="51"/>
      <c r="AG2" s="52"/>
      <c r="AH2" s="53"/>
    </row>
    <row r="3" spans="1:34" s="41" customFormat="1" ht="15.75" x14ac:dyDescent="0.25">
      <c r="A3" s="4"/>
      <c r="B3" s="42"/>
      <c r="D3" s="2" t="s">
        <v>2</v>
      </c>
      <c r="E3" s="3" t="s">
        <v>360</v>
      </c>
      <c r="F3" s="44"/>
      <c r="G3" s="45"/>
      <c r="H3" s="46"/>
      <c r="I3" s="46"/>
      <c r="J3" s="46"/>
      <c r="K3" s="47"/>
      <c r="L3" s="47"/>
      <c r="M3" s="47"/>
      <c r="N3" s="46"/>
      <c r="O3" s="48"/>
      <c r="P3" s="49"/>
      <c r="Q3" s="48"/>
      <c r="R3" s="46"/>
      <c r="S3" s="47"/>
      <c r="T3" s="46"/>
      <c r="U3" s="47"/>
      <c r="V3" s="46"/>
      <c r="W3" s="47"/>
      <c r="X3" s="46"/>
      <c r="Y3" s="47"/>
      <c r="Z3" s="46"/>
      <c r="AA3" s="47"/>
      <c r="AB3" s="46"/>
      <c r="AC3" s="47"/>
      <c r="AD3" s="46"/>
      <c r="AE3" s="50"/>
      <c r="AF3" s="51"/>
      <c r="AG3" s="52"/>
      <c r="AH3" s="53"/>
    </row>
    <row r="4" spans="1:34" s="41" customFormat="1" ht="15.75" x14ac:dyDescent="0.25">
      <c r="A4" s="4"/>
      <c r="B4" s="42"/>
      <c r="D4" s="54" t="s">
        <v>3</v>
      </c>
      <c r="E4" s="55" t="s">
        <v>23</v>
      </c>
      <c r="F4" s="44"/>
      <c r="G4" s="45"/>
      <c r="H4" s="46"/>
      <c r="I4" s="46"/>
      <c r="J4" s="46"/>
      <c r="K4" s="47"/>
      <c r="L4" s="47"/>
      <c r="M4" s="47"/>
      <c r="N4" s="46"/>
      <c r="O4" s="48"/>
      <c r="P4" s="49"/>
      <c r="Q4" s="48"/>
      <c r="R4" s="46"/>
      <c r="S4" s="47"/>
      <c r="T4" s="46"/>
      <c r="U4" s="47"/>
      <c r="V4" s="46"/>
      <c r="W4" s="47"/>
      <c r="X4" s="46"/>
      <c r="Y4" s="47"/>
      <c r="Z4" s="46"/>
      <c r="AA4" s="47"/>
      <c r="AB4" s="46"/>
      <c r="AC4" s="47"/>
      <c r="AD4" s="46"/>
      <c r="AE4" s="50"/>
      <c r="AF4" s="51"/>
      <c r="AG4" s="52"/>
      <c r="AH4" s="53"/>
    </row>
    <row r="5" spans="1:34" s="41" customFormat="1" ht="15.75" x14ac:dyDescent="0.25">
      <c r="A5" s="42"/>
      <c r="B5" s="42"/>
      <c r="D5" s="54" t="s">
        <v>5</v>
      </c>
      <c r="E5" s="55"/>
      <c r="F5" s="56"/>
      <c r="G5" s="45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1" customFormat="1" ht="15.75" x14ac:dyDescent="0.25">
      <c r="A6" s="42"/>
      <c r="B6" s="42"/>
      <c r="D6" s="2" t="s">
        <v>7</v>
      </c>
      <c r="E6" s="55" t="s">
        <v>24</v>
      </c>
      <c r="F6" s="56"/>
      <c r="G6" s="45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1" customFormat="1" ht="15.75" x14ac:dyDescent="0.25">
      <c r="A7" s="42"/>
      <c r="B7" s="42"/>
      <c r="D7" s="2" t="s">
        <v>9</v>
      </c>
      <c r="E7" s="65" t="s">
        <v>10</v>
      </c>
      <c r="F7" s="56"/>
      <c r="G7" s="45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8" spans="1:34" s="41" customFormat="1" ht="15.75" x14ac:dyDescent="0.25">
      <c r="A8" s="42"/>
      <c r="B8" s="42"/>
      <c r="D8" s="2"/>
      <c r="E8" s="65"/>
      <c r="F8" s="56"/>
      <c r="G8" s="45"/>
      <c r="H8" s="57"/>
      <c r="I8" s="57"/>
      <c r="J8" s="57"/>
      <c r="K8" s="58"/>
      <c r="L8" s="58"/>
      <c r="M8" s="58"/>
      <c r="N8" s="57"/>
      <c r="O8" s="59"/>
      <c r="P8" s="60"/>
      <c r="Q8" s="59"/>
      <c r="R8" s="57"/>
      <c r="S8" s="58"/>
      <c r="T8" s="57"/>
      <c r="U8" s="58"/>
      <c r="V8" s="57"/>
      <c r="W8" s="58"/>
      <c r="X8" s="57"/>
      <c r="Y8" s="58"/>
      <c r="Z8" s="57"/>
      <c r="AA8" s="58"/>
      <c r="AB8" s="57"/>
      <c r="AC8" s="58"/>
      <c r="AD8" s="57"/>
      <c r="AE8" s="61"/>
      <c r="AF8" s="62"/>
      <c r="AG8" s="63"/>
      <c r="AH8" s="64"/>
    </row>
    <row r="9" spans="1:34" s="41" customFormat="1" ht="15.75" x14ac:dyDescent="0.25">
      <c r="A9" s="42"/>
      <c r="B9" s="42"/>
      <c r="D9" s="2"/>
      <c r="E9" s="65"/>
      <c r="F9" s="56"/>
      <c r="G9" s="45"/>
      <c r="H9" s="57"/>
      <c r="I9" s="57"/>
      <c r="J9" s="57"/>
      <c r="K9" s="58"/>
      <c r="L9" s="58"/>
      <c r="M9" s="58"/>
      <c r="N9" s="57"/>
      <c r="O9" s="59"/>
      <c r="P9" s="60"/>
      <c r="Q9" s="59"/>
      <c r="R9" s="57"/>
      <c r="S9" s="58"/>
      <c r="T9" s="57"/>
      <c r="U9" s="58"/>
      <c r="V9" s="57"/>
      <c r="W9" s="58"/>
      <c r="X9" s="57"/>
      <c r="Y9" s="58"/>
      <c r="Z9" s="57"/>
      <c r="AA9" s="58"/>
      <c r="AB9" s="57"/>
      <c r="AC9" s="58"/>
      <c r="AD9" s="57"/>
      <c r="AE9" s="61"/>
      <c r="AF9" s="62"/>
      <c r="AG9" s="63"/>
      <c r="AH9" s="64"/>
    </row>
    <row r="10" spans="1:34" ht="18" x14ac:dyDescent="0.25">
      <c r="B10" s="183" t="s">
        <v>363</v>
      </c>
    </row>
    <row r="11" spans="1:34" ht="18" x14ac:dyDescent="0.25">
      <c r="B11" s="183"/>
    </row>
    <row r="15" spans="1:34" ht="15.75" x14ac:dyDescent="0.25">
      <c r="A15" s="192"/>
      <c r="B15" s="77"/>
      <c r="C15" s="75"/>
      <c r="D15" s="75"/>
      <c r="E15" s="265" t="s">
        <v>50</v>
      </c>
      <c r="F15" s="265"/>
      <c r="G15" s="265"/>
      <c r="H15" s="266" t="s">
        <v>51</v>
      </c>
      <c r="I15" s="266"/>
      <c r="J15" s="266"/>
      <c r="K15" s="267" t="s">
        <v>16</v>
      </c>
      <c r="L15" s="267"/>
      <c r="M15" s="267"/>
    </row>
    <row r="16" spans="1:34" ht="24" x14ac:dyDescent="0.25">
      <c r="A16" s="78" t="s">
        <v>52</v>
      </c>
      <c r="B16" s="78" t="s">
        <v>366</v>
      </c>
      <c r="C16" s="78" t="s">
        <v>53</v>
      </c>
      <c r="D16" s="79" t="s">
        <v>54</v>
      </c>
      <c r="E16" s="80" t="s">
        <v>55</v>
      </c>
      <c r="F16" s="81" t="s">
        <v>56</v>
      </c>
      <c r="G16" s="82" t="s">
        <v>57</v>
      </c>
      <c r="H16" s="83" t="s">
        <v>55</v>
      </c>
      <c r="I16" s="84" t="s">
        <v>58</v>
      </c>
      <c r="J16" s="85" t="s">
        <v>57</v>
      </c>
      <c r="K16" s="86" t="s">
        <v>55</v>
      </c>
      <c r="L16" s="87" t="s">
        <v>58</v>
      </c>
      <c r="M16" s="88" t="s">
        <v>59</v>
      </c>
    </row>
    <row r="17" spans="1:13" x14ac:dyDescent="0.25">
      <c r="A17" s="228"/>
      <c r="B17" s="228"/>
      <c r="C17" s="228"/>
      <c r="D17" s="89"/>
      <c r="E17" s="229"/>
      <c r="F17" s="92"/>
      <c r="G17" s="230"/>
      <c r="H17" s="231"/>
      <c r="I17" s="232"/>
      <c r="J17" s="233"/>
      <c r="K17" s="234"/>
      <c r="L17" s="235"/>
      <c r="M17" s="236"/>
    </row>
    <row r="18" spans="1:13" ht="35.25" customHeight="1" x14ac:dyDescent="0.25">
      <c r="A18" s="237">
        <v>23</v>
      </c>
      <c r="B18" s="237" t="s">
        <v>80</v>
      </c>
      <c r="C18" s="238" t="s">
        <v>81</v>
      </c>
      <c r="D18" s="239" t="s">
        <v>76</v>
      </c>
      <c r="E18" s="188"/>
      <c r="F18" s="188"/>
      <c r="G18" s="188"/>
      <c r="H18" s="241">
        <v>-5.9950000000000001</v>
      </c>
      <c r="I18" s="242">
        <v>315.64999999999998</v>
      </c>
      <c r="J18" s="244">
        <f>H18*I18</f>
        <v>-1892.3217499999998</v>
      </c>
      <c r="K18" s="258">
        <f>H18</f>
        <v>-5.9950000000000001</v>
      </c>
      <c r="L18" s="256">
        <f>I18</f>
        <v>315.64999999999998</v>
      </c>
      <c r="M18" s="257">
        <f>K18*L18</f>
        <v>-1892.3217499999998</v>
      </c>
    </row>
    <row r="19" spans="1:13" ht="33" customHeight="1" x14ac:dyDescent="0.25">
      <c r="A19" s="202"/>
      <c r="B19" s="202">
        <v>132554205</v>
      </c>
      <c r="C19" s="203" t="s">
        <v>280</v>
      </c>
      <c r="D19" s="240" t="s">
        <v>76</v>
      </c>
      <c r="E19" s="188"/>
      <c r="F19" s="188"/>
      <c r="G19" s="188"/>
      <c r="H19" s="241">
        <v>5.9950000000000001</v>
      </c>
      <c r="I19" s="243">
        <v>1116.6199999999999</v>
      </c>
      <c r="J19" s="244">
        <f>H19*I19</f>
        <v>6694.1368999999995</v>
      </c>
      <c r="K19" s="258">
        <f>H19</f>
        <v>5.9950000000000001</v>
      </c>
      <c r="L19" s="256">
        <f>I19</f>
        <v>1116.6199999999999</v>
      </c>
      <c r="M19" s="257">
        <f>K19*L19</f>
        <v>6694.1368999999995</v>
      </c>
    </row>
    <row r="20" spans="1:13" ht="15.75" thickBot="1" x14ac:dyDescent="0.3"/>
    <row r="21" spans="1:13" ht="16.5" thickBot="1" x14ac:dyDescent="0.3">
      <c r="A21" s="132"/>
      <c r="B21" s="134"/>
      <c r="C21" s="135" t="s">
        <v>105</v>
      </c>
      <c r="D21" s="133"/>
      <c r="E21" s="136"/>
      <c r="F21" s="137"/>
      <c r="G21" s="138">
        <f>SUBTOTAL(9,G11:G20)</f>
        <v>0</v>
      </c>
      <c r="H21" s="139"/>
      <c r="I21" s="139"/>
      <c r="J21" s="140">
        <f>SUBTOTAL(9,J18:J19)</f>
        <v>4801.8151499999994</v>
      </c>
      <c r="K21" s="139"/>
      <c r="L21" s="139"/>
      <c r="M21" s="141">
        <f>SUBTOTAL(9,M9:M20)</f>
        <v>4801.8151499999994</v>
      </c>
    </row>
    <row r="22" spans="1:13" ht="15.75" x14ac:dyDescent="0.25">
      <c r="A22" s="121"/>
      <c r="B22" s="142"/>
      <c r="C22" s="143"/>
      <c r="D22" s="144"/>
      <c r="E22" s="145"/>
      <c r="F22" s="125"/>
      <c r="G22" s="146"/>
      <c r="H22" s="147"/>
      <c r="I22" s="148"/>
      <c r="J22" s="149"/>
      <c r="K22" s="150"/>
      <c r="L22" s="150"/>
      <c r="M22" s="151"/>
    </row>
    <row r="23" spans="1:13" ht="15.75" x14ac:dyDescent="0.25">
      <c r="A23" s="123"/>
      <c r="B23" s="31" t="s">
        <v>18</v>
      </c>
      <c r="C23" s="35" t="s">
        <v>106</v>
      </c>
      <c r="D23" s="123"/>
      <c r="E23" s="152"/>
      <c r="F23" s="123"/>
      <c r="G23" s="35" t="s">
        <v>20</v>
      </c>
      <c r="H23" s="147"/>
      <c r="I23" s="153"/>
      <c r="J23" s="149"/>
      <c r="K23" s="36" t="s">
        <v>22</v>
      </c>
      <c r="L23" s="151"/>
      <c r="M23" s="151"/>
    </row>
    <row r="24" spans="1:13" ht="15.75" x14ac:dyDescent="0.25">
      <c r="A24" s="123"/>
      <c r="B24" s="31"/>
      <c r="C24" s="35"/>
      <c r="D24" s="123"/>
      <c r="E24" s="152"/>
      <c r="F24" s="123"/>
      <c r="G24" s="35"/>
      <c r="H24" s="147"/>
      <c r="I24" s="153"/>
      <c r="J24" s="149"/>
      <c r="K24" s="36"/>
      <c r="L24" s="151"/>
      <c r="M24" s="151"/>
    </row>
    <row r="25" spans="1:13" ht="15.75" x14ac:dyDescent="0.25">
      <c r="A25" s="123"/>
      <c r="B25" s="31" t="s">
        <v>19</v>
      </c>
      <c r="C25" s="31" t="s">
        <v>107</v>
      </c>
      <c r="D25" s="123"/>
      <c r="E25" s="152"/>
      <c r="F25" s="123"/>
      <c r="G25" s="31" t="s">
        <v>19</v>
      </c>
      <c r="H25" s="147"/>
      <c r="I25" s="153"/>
      <c r="J25" s="149"/>
      <c r="K25" s="31" t="s">
        <v>19</v>
      </c>
      <c r="L25" s="151"/>
      <c r="M25" s="151"/>
    </row>
  </sheetData>
  <mergeCells count="3">
    <mergeCell ref="E15:G15"/>
    <mergeCell ref="H15:J15"/>
    <mergeCell ref="K15:M15"/>
  </mergeCells>
  <conditionalFormatting sqref="AB1:AH1 A1:Z1">
    <cfRule type="cellIs" dxfId="5" priority="2" stopIfTrue="1" operator="lessThan">
      <formula>0</formula>
    </cfRule>
  </conditionalFormatting>
  <conditionalFormatting sqref="E3">
    <cfRule type="cellIs" dxfId="4" priority="1" stopIfTrue="1" operator="lessThan">
      <formula>0</formula>
    </cfRule>
  </conditionalFormatting>
  <pageMargins left="0.7" right="0.7" top="0.78740157499999996" bottom="0.78740157499999996" header="0.3" footer="0.3"/>
  <pageSetup paperSize="9" scale="7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F2AA4-F6B0-4B2C-BF0B-AF1696E919BA}">
  <dimension ref="A1:AH22"/>
  <sheetViews>
    <sheetView view="pageBreakPreview" zoomScale="60" zoomScaleNormal="100" workbookViewId="0">
      <selection activeCell="I12" sqref="I12"/>
    </sheetView>
  </sheetViews>
  <sheetFormatPr defaultRowHeight="15" x14ac:dyDescent="0.25"/>
  <cols>
    <col min="3" max="3" width="32.7109375" customWidth="1"/>
    <col min="4" max="4" width="7.7109375" customWidth="1"/>
    <col min="7" max="7" width="11.28515625" customWidth="1"/>
    <col min="8" max="8" width="10.7109375" bestFit="1" customWidth="1"/>
    <col min="10" max="10" width="19.140625" bestFit="1" customWidth="1"/>
    <col min="13" max="13" width="19.140625" bestFit="1" customWidth="1"/>
  </cols>
  <sheetData>
    <row r="1" spans="1:34" s="41" customFormat="1" ht="12.75" x14ac:dyDescent="0.2">
      <c r="A1" s="37"/>
      <c r="B1" s="37"/>
      <c r="C1" s="37"/>
      <c r="D1" s="37"/>
      <c r="E1" s="38"/>
      <c r="F1" s="37"/>
      <c r="G1" s="39"/>
      <c r="H1" s="37"/>
      <c r="I1" s="37"/>
      <c r="J1" s="37"/>
      <c r="K1" s="37"/>
      <c r="L1" s="37"/>
      <c r="M1" s="37"/>
      <c r="N1" s="37"/>
      <c r="O1" s="40"/>
      <c r="P1" s="40"/>
      <c r="Q1" s="40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s="41" customFormat="1" ht="15.75" x14ac:dyDescent="0.25">
      <c r="A2" s="4"/>
      <c r="B2" s="42"/>
      <c r="D2" s="2" t="s">
        <v>0</v>
      </c>
      <c r="E2" s="43" t="s">
        <v>359</v>
      </c>
      <c r="F2" s="44"/>
      <c r="G2" s="45"/>
      <c r="H2" s="46"/>
      <c r="I2" s="46"/>
      <c r="J2" s="46"/>
      <c r="K2" s="47"/>
      <c r="L2" s="47"/>
      <c r="M2" s="47"/>
      <c r="N2" s="46"/>
      <c r="O2" s="48"/>
      <c r="P2" s="49"/>
      <c r="Q2" s="48"/>
      <c r="R2" s="46"/>
      <c r="S2" s="47"/>
      <c r="T2" s="46"/>
      <c r="U2" s="47"/>
      <c r="V2" s="46"/>
      <c r="W2" s="47"/>
      <c r="X2" s="46"/>
      <c r="Y2" s="47"/>
      <c r="Z2" s="46"/>
      <c r="AA2" s="47"/>
      <c r="AB2" s="46"/>
      <c r="AC2" s="47"/>
      <c r="AD2" s="46"/>
      <c r="AE2" s="50"/>
      <c r="AF2" s="51"/>
      <c r="AG2" s="52"/>
      <c r="AH2" s="53"/>
    </row>
    <row r="3" spans="1:34" s="41" customFormat="1" ht="15.75" x14ac:dyDescent="0.25">
      <c r="A3" s="4"/>
      <c r="B3" s="42"/>
      <c r="D3" s="2" t="s">
        <v>2</v>
      </c>
      <c r="E3" s="3" t="s">
        <v>360</v>
      </c>
      <c r="F3" s="44"/>
      <c r="G3" s="45"/>
      <c r="H3" s="46"/>
      <c r="I3" s="46"/>
      <c r="J3" s="46"/>
      <c r="K3" s="47"/>
      <c r="L3" s="47"/>
      <c r="M3" s="47"/>
      <c r="N3" s="46"/>
      <c r="O3" s="48"/>
      <c r="P3" s="49"/>
      <c r="Q3" s="48"/>
      <c r="R3" s="46"/>
      <c r="S3" s="47"/>
      <c r="T3" s="46"/>
      <c r="U3" s="47"/>
      <c r="V3" s="46"/>
      <c r="W3" s="47"/>
      <c r="X3" s="46"/>
      <c r="Y3" s="47"/>
      <c r="Z3" s="46"/>
      <c r="AA3" s="47"/>
      <c r="AB3" s="46"/>
      <c r="AC3" s="47"/>
      <c r="AD3" s="46"/>
      <c r="AE3" s="50"/>
      <c r="AF3" s="51"/>
      <c r="AG3" s="52"/>
      <c r="AH3" s="53"/>
    </row>
    <row r="4" spans="1:34" s="41" customFormat="1" ht="15.75" x14ac:dyDescent="0.25">
      <c r="A4" s="4"/>
      <c r="B4" s="42"/>
      <c r="D4" s="54" t="s">
        <v>3</v>
      </c>
      <c r="E4" s="55" t="s">
        <v>23</v>
      </c>
      <c r="F4" s="44"/>
      <c r="G4" s="45"/>
      <c r="H4" s="46"/>
      <c r="I4" s="46"/>
      <c r="J4" s="46"/>
      <c r="K4" s="47"/>
      <c r="L4" s="47"/>
      <c r="M4" s="47"/>
      <c r="N4" s="46"/>
      <c r="O4" s="48"/>
      <c r="P4" s="49"/>
      <c r="Q4" s="48"/>
      <c r="R4" s="46"/>
      <c r="S4" s="47"/>
      <c r="T4" s="46"/>
      <c r="U4" s="47"/>
      <c r="V4" s="46"/>
      <c r="W4" s="47"/>
      <c r="X4" s="46"/>
      <c r="Y4" s="47"/>
      <c r="Z4" s="46"/>
      <c r="AA4" s="47"/>
      <c r="AB4" s="46"/>
      <c r="AC4" s="47"/>
      <c r="AD4" s="46"/>
      <c r="AE4" s="50"/>
      <c r="AF4" s="51"/>
      <c r="AG4" s="52"/>
      <c r="AH4" s="53"/>
    </row>
    <row r="5" spans="1:34" s="41" customFormat="1" ht="15.75" x14ac:dyDescent="0.25">
      <c r="A5" s="42"/>
      <c r="B5" s="42"/>
      <c r="D5" s="54" t="s">
        <v>5</v>
      </c>
      <c r="E5" s="55"/>
      <c r="F5" s="56"/>
      <c r="G5" s="45"/>
      <c r="H5" s="57"/>
      <c r="I5" s="57"/>
      <c r="J5" s="57"/>
      <c r="K5" s="58"/>
      <c r="L5" s="58"/>
      <c r="M5" s="58"/>
      <c r="N5" s="57"/>
      <c r="O5" s="59"/>
      <c r="P5" s="60"/>
      <c r="Q5" s="59"/>
      <c r="R5" s="57"/>
      <c r="S5" s="58"/>
      <c r="T5" s="57"/>
      <c r="U5" s="58"/>
      <c r="V5" s="57"/>
      <c r="W5" s="58"/>
      <c r="X5" s="57"/>
      <c r="Y5" s="58"/>
      <c r="Z5" s="57"/>
      <c r="AA5" s="58"/>
      <c r="AB5" s="57"/>
      <c r="AC5" s="58"/>
      <c r="AD5" s="57"/>
      <c r="AE5" s="61"/>
      <c r="AF5" s="62"/>
      <c r="AG5" s="63"/>
      <c r="AH5" s="64"/>
    </row>
    <row r="6" spans="1:34" s="41" customFormat="1" ht="15.75" x14ac:dyDescent="0.25">
      <c r="A6" s="42"/>
      <c r="B6" s="42"/>
      <c r="D6" s="2" t="s">
        <v>7</v>
      </c>
      <c r="E6" s="55" t="s">
        <v>24</v>
      </c>
      <c r="F6" s="56"/>
      <c r="G6" s="45"/>
      <c r="H6" s="57"/>
      <c r="I6" s="57"/>
      <c r="J6" s="57"/>
      <c r="K6" s="58"/>
      <c r="L6" s="58"/>
      <c r="M6" s="58"/>
      <c r="N6" s="57"/>
      <c r="O6" s="59"/>
      <c r="P6" s="60"/>
      <c r="Q6" s="59"/>
      <c r="R6" s="57"/>
      <c r="S6" s="58"/>
      <c r="T6" s="57"/>
      <c r="U6" s="58"/>
      <c r="V6" s="57"/>
      <c r="W6" s="58"/>
      <c r="X6" s="57"/>
      <c r="Y6" s="58"/>
      <c r="Z6" s="57"/>
      <c r="AA6" s="58"/>
      <c r="AB6" s="57"/>
      <c r="AC6" s="58"/>
      <c r="AD6" s="57"/>
      <c r="AE6" s="61"/>
      <c r="AF6" s="62"/>
      <c r="AG6" s="63"/>
      <c r="AH6" s="64"/>
    </row>
    <row r="7" spans="1:34" s="41" customFormat="1" ht="15.75" x14ac:dyDescent="0.25">
      <c r="A7" s="42"/>
      <c r="B7" s="42"/>
      <c r="D7" s="2" t="s">
        <v>9</v>
      </c>
      <c r="E7" s="65" t="s">
        <v>10</v>
      </c>
      <c r="F7" s="56"/>
      <c r="G7" s="45"/>
      <c r="H7" s="57"/>
      <c r="I7" s="57"/>
      <c r="J7" s="57"/>
      <c r="K7" s="58"/>
      <c r="L7" s="58"/>
      <c r="M7" s="58"/>
      <c r="N7" s="57"/>
      <c r="O7" s="59"/>
      <c r="P7" s="60"/>
      <c r="Q7" s="59"/>
      <c r="R7" s="57"/>
      <c r="S7" s="58"/>
      <c r="T7" s="57"/>
      <c r="U7" s="58"/>
      <c r="V7" s="57"/>
      <c r="W7" s="58"/>
      <c r="X7" s="57"/>
      <c r="Y7" s="58"/>
      <c r="Z7" s="57"/>
      <c r="AA7" s="58"/>
      <c r="AB7" s="57"/>
      <c r="AC7" s="58"/>
      <c r="AD7" s="57"/>
      <c r="AE7" s="61"/>
      <c r="AF7" s="62"/>
      <c r="AG7" s="63"/>
      <c r="AH7" s="64"/>
    </row>
    <row r="10" spans="1:34" ht="18" x14ac:dyDescent="0.25">
      <c r="B10" s="183" t="s">
        <v>364</v>
      </c>
    </row>
    <row r="13" spans="1:34" ht="15.75" x14ac:dyDescent="0.25">
      <c r="A13" s="192"/>
      <c r="B13" s="77"/>
      <c r="C13" s="75"/>
      <c r="D13" s="75"/>
      <c r="E13" s="265" t="s">
        <v>50</v>
      </c>
      <c r="F13" s="265"/>
      <c r="G13" s="265"/>
      <c r="H13" s="266" t="s">
        <v>51</v>
      </c>
      <c r="I13" s="266"/>
      <c r="J13" s="266"/>
      <c r="K13" s="267" t="s">
        <v>16</v>
      </c>
      <c r="L13" s="267"/>
      <c r="M13" s="267"/>
    </row>
    <row r="14" spans="1:34" ht="24" x14ac:dyDescent="0.25">
      <c r="A14" s="78" t="s">
        <v>52</v>
      </c>
      <c r="B14" s="78" t="s">
        <v>366</v>
      </c>
      <c r="C14" s="78" t="s">
        <v>53</v>
      </c>
      <c r="D14" s="79" t="s">
        <v>54</v>
      </c>
      <c r="E14" s="80" t="s">
        <v>55</v>
      </c>
      <c r="F14" s="81" t="s">
        <v>56</v>
      </c>
      <c r="G14" s="82" t="s">
        <v>57</v>
      </c>
      <c r="H14" s="83" t="s">
        <v>55</v>
      </c>
      <c r="I14" s="84" t="s">
        <v>58</v>
      </c>
      <c r="J14" s="85" t="s">
        <v>57</v>
      </c>
      <c r="K14" s="86" t="s">
        <v>55</v>
      </c>
      <c r="L14" s="87" t="s">
        <v>58</v>
      </c>
      <c r="M14" s="88" t="s">
        <v>59</v>
      </c>
    </row>
    <row r="15" spans="1:34" x14ac:dyDescent="0.25">
      <c r="A15" s="228"/>
      <c r="B15" s="228"/>
      <c r="C15" s="228"/>
      <c r="D15" s="89"/>
      <c r="E15" s="229"/>
      <c r="F15" s="92"/>
      <c r="G15" s="230"/>
      <c r="H15" s="231"/>
      <c r="I15" s="232"/>
      <c r="J15" s="233"/>
      <c r="K15" s="234"/>
      <c r="L15" s="235"/>
      <c r="M15" s="236"/>
    </row>
    <row r="16" spans="1:34" ht="26.25" customHeight="1" x14ac:dyDescent="0.25">
      <c r="A16" s="187" t="s">
        <v>352</v>
      </c>
      <c r="B16" s="187" t="s">
        <v>353</v>
      </c>
      <c r="C16" s="245" t="s">
        <v>354</v>
      </c>
      <c r="D16" s="187" t="s">
        <v>192</v>
      </c>
      <c r="E16" s="188"/>
      <c r="F16" s="188"/>
      <c r="G16" s="188"/>
      <c r="H16" s="246">
        <v>-291.23500000000001</v>
      </c>
      <c r="I16" s="246">
        <v>429.21</v>
      </c>
      <c r="J16" s="244">
        <f>H16*I16</f>
        <v>-125000.97435</v>
      </c>
      <c r="K16" s="256">
        <f>H16</f>
        <v>-291.23500000000001</v>
      </c>
      <c r="L16" s="256">
        <f>I16</f>
        <v>429.21</v>
      </c>
      <c r="M16" s="257">
        <f>K16*L16</f>
        <v>-125000.97435</v>
      </c>
    </row>
    <row r="17" spans="1:13" ht="15.75" thickBot="1" x14ac:dyDescent="0.3">
      <c r="K17" s="194"/>
      <c r="L17" s="194"/>
      <c r="M17" s="194"/>
    </row>
    <row r="18" spans="1:13" ht="16.5" thickBot="1" x14ac:dyDescent="0.3">
      <c r="A18" s="132"/>
      <c r="B18" s="134"/>
      <c r="C18" s="135" t="s">
        <v>105</v>
      </c>
      <c r="D18" s="133"/>
      <c r="E18" s="136"/>
      <c r="F18" s="137"/>
      <c r="G18" s="138">
        <f>SUBTOTAL(9,G8:G17)</f>
        <v>0</v>
      </c>
      <c r="H18" s="139"/>
      <c r="I18" s="139"/>
      <c r="J18" s="140">
        <f>SUBTOTAL(9,J15:J16)</f>
        <v>-125000.97435</v>
      </c>
      <c r="K18" s="139"/>
      <c r="L18" s="139"/>
      <c r="M18" s="141">
        <f>SUBTOTAL(9,M6:M17)</f>
        <v>-125000.97435</v>
      </c>
    </row>
    <row r="19" spans="1:13" ht="15.75" x14ac:dyDescent="0.25">
      <c r="A19" s="121"/>
      <c r="B19" s="142"/>
      <c r="C19" s="143"/>
      <c r="D19" s="144"/>
      <c r="E19" s="145"/>
      <c r="F19" s="125"/>
      <c r="G19" s="146"/>
      <c r="H19" s="147"/>
      <c r="I19" s="148"/>
      <c r="J19" s="149"/>
      <c r="K19" s="150"/>
      <c r="L19" s="150"/>
      <c r="M19" s="151"/>
    </row>
    <row r="20" spans="1:13" ht="15.75" x14ac:dyDescent="0.25">
      <c r="A20" s="123"/>
      <c r="B20" s="31" t="s">
        <v>18</v>
      </c>
      <c r="C20" s="35" t="s">
        <v>106</v>
      </c>
      <c r="D20" s="123"/>
      <c r="E20" s="152"/>
      <c r="F20" s="123"/>
      <c r="G20" s="35" t="s">
        <v>20</v>
      </c>
      <c r="H20" s="147"/>
      <c r="I20" s="153"/>
      <c r="J20" s="149"/>
      <c r="K20" s="36" t="s">
        <v>22</v>
      </c>
      <c r="L20" s="151"/>
      <c r="M20" s="151"/>
    </row>
    <row r="21" spans="1:13" ht="15.75" x14ac:dyDescent="0.25">
      <c r="A21" s="123"/>
      <c r="B21" s="31"/>
      <c r="C21" s="35"/>
      <c r="D21" s="123"/>
      <c r="E21" s="152"/>
      <c r="F21" s="123"/>
      <c r="G21" s="35"/>
      <c r="H21" s="147"/>
      <c r="I21" s="153"/>
      <c r="J21" s="149"/>
      <c r="K21" s="36"/>
      <c r="L21" s="151"/>
      <c r="M21" s="151"/>
    </row>
    <row r="22" spans="1:13" ht="15.75" x14ac:dyDescent="0.25">
      <c r="A22" s="123"/>
      <c r="B22" s="31" t="s">
        <v>19</v>
      </c>
      <c r="C22" s="31" t="s">
        <v>107</v>
      </c>
      <c r="D22" s="123"/>
      <c r="E22" s="152"/>
      <c r="F22" s="123"/>
      <c r="G22" s="31" t="s">
        <v>19</v>
      </c>
      <c r="H22" s="147"/>
      <c r="I22" s="153"/>
      <c r="J22" s="149"/>
      <c r="K22" s="31" t="s">
        <v>19</v>
      </c>
      <c r="L22" s="151"/>
      <c r="M22" s="151"/>
    </row>
  </sheetData>
  <mergeCells count="3">
    <mergeCell ref="K13:M13"/>
    <mergeCell ref="E13:G13"/>
    <mergeCell ref="H13:J13"/>
  </mergeCells>
  <conditionalFormatting sqref="AB1:AH1 A1:Z1">
    <cfRule type="cellIs" dxfId="3" priority="2" stopIfTrue="1" operator="lessThan">
      <formula>0</formula>
    </cfRule>
  </conditionalFormatting>
  <conditionalFormatting sqref="E3">
    <cfRule type="cellIs" dxfId="2" priority="1" stopIfTrue="1" operator="lessThan">
      <formula>0</formula>
    </cfRule>
  </conditionalFormatting>
  <pageMargins left="0.7" right="0.7" top="0.78740157499999996" bottom="0.78740157499999996" header="0.3" footer="0.3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9</vt:i4>
      </vt:variant>
    </vt:vector>
  </HeadingPairs>
  <TitlesOfParts>
    <vt:vector size="19" baseType="lpstr">
      <vt:lpstr>Rekapitulace</vt:lpstr>
      <vt:lpstr>004-01</vt:lpstr>
      <vt:lpstr>004-05</vt:lpstr>
      <vt:lpstr>004-06</vt:lpstr>
      <vt:lpstr>004-07</vt:lpstr>
      <vt:lpstr>004-09</vt:lpstr>
      <vt:lpstr>004-10</vt:lpstr>
      <vt:lpstr>004-12</vt:lpstr>
      <vt:lpstr>004-13</vt:lpstr>
      <vt:lpstr>004-14</vt:lpstr>
      <vt:lpstr>'004-01'!Oblast_tisku</vt:lpstr>
      <vt:lpstr>'004-05'!Oblast_tisku</vt:lpstr>
      <vt:lpstr>'004-06'!Oblast_tisku</vt:lpstr>
      <vt:lpstr>'004-07'!Oblast_tisku</vt:lpstr>
      <vt:lpstr>'004-09'!Oblast_tisku</vt:lpstr>
      <vt:lpstr>'004-10'!Oblast_tisku</vt:lpstr>
      <vt:lpstr>'004-12'!Oblast_tisku</vt:lpstr>
      <vt:lpstr>'004-13'!Oblast_tisku</vt:lpstr>
      <vt:lpstr>'004-14'!Oblast_tisku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ANTALOVÁ, Zdena</dc:creator>
  <cp:lastModifiedBy>ANTALOVÁ, Zdena</cp:lastModifiedBy>
  <cp:lastPrinted>2023-01-09T12:16:10Z</cp:lastPrinted>
  <dcterms:created xsi:type="dcterms:W3CDTF">2022-11-23T13:00:25Z</dcterms:created>
  <dcterms:modified xsi:type="dcterms:W3CDTF">2023-02-02T11:12:17Z</dcterms:modified>
</cp:coreProperties>
</file>